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IM ATMP\COVASNA\Prognoza MP\Porognoze si indicatori\"/>
    </mc:Choice>
  </mc:AlternateContent>
  <xr:revisionPtr revIDLastSave="0" documentId="13_ncr:1_{D52FD223-E5CD-4C73-ACB0-16D366299B56}" xr6:coauthVersionLast="45" xr6:coauthVersionMax="45" xr10:uidLastSave="{00000000-0000-0000-0000-000000000000}"/>
  <bookViews>
    <workbookView xWindow="-120" yWindow="-120" windowWidth="20730" windowHeight="11760" tabRatio="799" activeTab="1" xr2:uid="{00000000-000D-0000-FFFF-FFFF00000000}"/>
  </bookViews>
  <sheets>
    <sheet name="Prognoza Apa" sheetId="59" r:id="rId1"/>
    <sheet name="Prognoza BA" sheetId="86" r:id="rId2"/>
    <sheet name="IP" sheetId="88" r:id="rId3"/>
    <sheet name="PIB + FE" sheetId="85" r:id="rId4"/>
    <sheet name="Foaie1" sheetId="53" r:id="rId5"/>
  </sheets>
  <externalReferences>
    <externalReference r:id="rId6"/>
    <externalReference r:id="rId7"/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86" l="1"/>
  <c r="F14" i="59"/>
  <c r="G14" i="59" s="1"/>
  <c r="H14" i="59" s="1"/>
  <c r="I14" i="59" s="1"/>
  <c r="J14" i="59" s="1"/>
  <c r="K14" i="59" s="1"/>
  <c r="L14" i="59" s="1"/>
  <c r="M14" i="59" s="1"/>
  <c r="N14" i="59" s="1"/>
  <c r="O14" i="59" s="1"/>
  <c r="P14" i="59" s="1"/>
  <c r="Q14" i="59" s="1"/>
  <c r="R14" i="59" s="1"/>
  <c r="S14" i="59" s="1"/>
  <c r="T14" i="59" s="1"/>
  <c r="U14" i="59" s="1"/>
  <c r="V14" i="59" s="1"/>
  <c r="W14" i="59" s="1"/>
  <c r="X14" i="59" s="1"/>
  <c r="Y14" i="59" s="1"/>
  <c r="Z14" i="59" s="1"/>
  <c r="AA14" i="59" s="1"/>
  <c r="AB14" i="59" s="1"/>
  <c r="AC14" i="59" s="1"/>
  <c r="AD14" i="59" s="1"/>
  <c r="AE14" i="59" s="1"/>
  <c r="AF14" i="59" s="1"/>
  <c r="AG14" i="59" s="1"/>
  <c r="AH14" i="59" s="1"/>
  <c r="E14" i="59"/>
  <c r="S12" i="59"/>
  <c r="T12" i="59" s="1"/>
  <c r="U12" i="59" s="1"/>
  <c r="V12" i="59" s="1"/>
  <c r="W12" i="59" s="1"/>
  <c r="X12" i="59" s="1"/>
  <c r="Y12" i="59" s="1"/>
  <c r="Z12" i="59" s="1"/>
  <c r="AA12" i="59" s="1"/>
  <c r="AB12" i="59" s="1"/>
  <c r="AC12" i="59" s="1"/>
  <c r="AD12" i="59" s="1"/>
  <c r="AE12" i="59" s="1"/>
  <c r="AF12" i="59" s="1"/>
  <c r="AG12" i="59" s="1"/>
  <c r="R12" i="59"/>
  <c r="AH12" i="59"/>
  <c r="K12" i="59"/>
  <c r="L12" i="59" s="1"/>
  <c r="M12" i="59" s="1"/>
  <c r="N12" i="59" s="1"/>
  <c r="O12" i="59" s="1"/>
  <c r="P12" i="59" s="1"/>
  <c r="L12" i="88" l="1"/>
  <c r="D14" i="59"/>
  <c r="D13" i="59"/>
  <c r="E8" i="59" l="1"/>
  <c r="F8" i="59"/>
  <c r="G8" i="59"/>
  <c r="H8" i="59"/>
  <c r="I8" i="59"/>
  <c r="J8" i="59"/>
  <c r="K8" i="59"/>
  <c r="L8" i="59"/>
  <c r="M8" i="59"/>
  <c r="N8" i="59"/>
  <c r="O8" i="59"/>
  <c r="P8" i="59"/>
  <c r="Q8" i="59"/>
  <c r="R8" i="59"/>
  <c r="S8" i="59"/>
  <c r="T8" i="59"/>
  <c r="U8" i="59"/>
  <c r="V8" i="59"/>
  <c r="W8" i="59"/>
  <c r="X8" i="59"/>
  <c r="Y8" i="59"/>
  <c r="Z8" i="59"/>
  <c r="AA8" i="59"/>
  <c r="AB8" i="59"/>
  <c r="AC8" i="59"/>
  <c r="AD8" i="59"/>
  <c r="AE8" i="59"/>
  <c r="AF8" i="59"/>
  <c r="AG8" i="59"/>
  <c r="AH8" i="59"/>
  <c r="D8" i="59"/>
  <c r="F14" i="88"/>
  <c r="F13" i="88"/>
  <c r="F12" i="88"/>
  <c r="F15" i="86"/>
  <c r="F14" i="86"/>
  <c r="F13" i="86"/>
  <c r="F12" i="86"/>
  <c r="F11" i="86"/>
  <c r="F10" i="86"/>
  <c r="F9" i="86"/>
  <c r="F8" i="86"/>
  <c r="F7" i="86"/>
  <c r="F6" i="86"/>
  <c r="F5" i="86"/>
  <c r="F4" i="86"/>
  <c r="D20" i="59"/>
  <c r="B7" i="59"/>
  <c r="G15" i="86" l="1"/>
  <c r="H15" i="86" s="1"/>
  <c r="I15" i="86" s="1"/>
  <c r="J15" i="86" s="1"/>
  <c r="K15" i="86" s="1"/>
  <c r="F22" i="59" l="1"/>
  <c r="G22" i="59" s="1"/>
  <c r="H22" i="59" s="1"/>
  <c r="I22" i="59" s="1"/>
  <c r="J22" i="59" s="1"/>
  <c r="K22" i="59" s="1"/>
  <c r="L22" i="59" s="1"/>
  <c r="M22" i="59" s="1"/>
  <c r="N22" i="59" s="1"/>
  <c r="O22" i="59" s="1"/>
  <c r="P22" i="59" s="1"/>
  <c r="Q22" i="59" s="1"/>
  <c r="R22" i="59" s="1"/>
  <c r="S22" i="59" s="1"/>
  <c r="T22" i="59" s="1"/>
  <c r="U22" i="59" s="1"/>
  <c r="V22" i="59" s="1"/>
  <c r="W22" i="59" s="1"/>
  <c r="X22" i="59" s="1"/>
  <c r="Y22" i="59" s="1"/>
  <c r="Z22" i="59" s="1"/>
  <c r="AA22" i="59" s="1"/>
  <c r="AB22" i="59" s="1"/>
  <c r="AC22" i="59" s="1"/>
  <c r="AD22" i="59" s="1"/>
  <c r="AE22" i="59" s="1"/>
  <c r="AF22" i="59" s="1"/>
  <c r="AG22" i="59" s="1"/>
  <c r="AH22" i="59" s="1"/>
  <c r="E22" i="59"/>
  <c r="A2" i="88" l="1"/>
  <c r="A2" i="86"/>
  <c r="B2" i="88"/>
  <c r="B2" i="86" l="1"/>
  <c r="G15" i="88"/>
  <c r="H15" i="88" s="1"/>
  <c r="I15" i="88" s="1"/>
  <c r="J15" i="88" s="1"/>
  <c r="K15" i="88" s="1"/>
  <c r="L15" i="88" s="1"/>
  <c r="M15" i="88" s="1"/>
  <c r="N15" i="88" s="1"/>
  <c r="O15" i="88" s="1"/>
  <c r="P15" i="88" s="1"/>
  <c r="Q15" i="88" s="1"/>
  <c r="R15" i="88" s="1"/>
  <c r="S15" i="88" s="1"/>
  <c r="T15" i="88" s="1"/>
  <c r="U15" i="88" s="1"/>
  <c r="V15" i="88" s="1"/>
  <c r="W15" i="88" s="1"/>
  <c r="X15" i="88" s="1"/>
  <c r="Y15" i="88" s="1"/>
  <c r="Z15" i="88" s="1"/>
  <c r="AA15" i="88" s="1"/>
  <c r="AB15" i="88" s="1"/>
  <c r="AC15" i="88" s="1"/>
  <c r="AD15" i="88" s="1"/>
  <c r="AE15" i="88" s="1"/>
  <c r="AF15" i="88" s="1"/>
  <c r="AG15" i="88" s="1"/>
  <c r="AH15" i="88" s="1"/>
  <c r="AI15" i="88" s="1"/>
  <c r="AJ15" i="88" s="1"/>
  <c r="G14" i="88"/>
  <c r="H14" i="88" s="1"/>
  <c r="G12" i="88"/>
  <c r="H12" i="88" s="1"/>
  <c r="F4" i="88"/>
  <c r="I14" i="88" l="1"/>
  <c r="J14" i="88" s="1"/>
  <c r="K14" i="88" s="1"/>
  <c r="L14" i="88" s="1"/>
  <c r="M14" i="88" s="1"/>
  <c r="N14" i="88" s="1"/>
  <c r="O14" i="88" s="1"/>
  <c r="P14" i="88" s="1"/>
  <c r="Q14" i="88" s="1"/>
  <c r="R14" i="88" s="1"/>
  <c r="S14" i="88" s="1"/>
  <c r="T14" i="88" s="1"/>
  <c r="U14" i="88" s="1"/>
  <c r="V14" i="88" s="1"/>
  <c r="W14" i="88" s="1"/>
  <c r="X14" i="88" s="1"/>
  <c r="Y14" i="88" s="1"/>
  <c r="Z14" i="88" s="1"/>
  <c r="AA14" i="88" s="1"/>
  <c r="AB14" i="88" s="1"/>
  <c r="AC14" i="88" s="1"/>
  <c r="AD14" i="88" s="1"/>
  <c r="AE14" i="88" s="1"/>
  <c r="AF14" i="88" s="1"/>
  <c r="AG14" i="88" s="1"/>
  <c r="AH14" i="88" s="1"/>
  <c r="AI14" i="88" s="1"/>
  <c r="AJ14" i="88" s="1"/>
  <c r="I12" i="88"/>
  <c r="G17" i="86"/>
  <c r="H17" i="86" s="1"/>
  <c r="I17" i="86" s="1"/>
  <c r="J17" i="86" s="1"/>
  <c r="K17" i="86" s="1"/>
  <c r="L17" i="86" s="1"/>
  <c r="M17" i="86" s="1"/>
  <c r="N17" i="86" s="1"/>
  <c r="O17" i="86" s="1"/>
  <c r="P17" i="86" s="1"/>
  <c r="Q17" i="86" s="1"/>
  <c r="R17" i="86" s="1"/>
  <c r="S17" i="86" s="1"/>
  <c r="T17" i="86" s="1"/>
  <c r="U17" i="86" s="1"/>
  <c r="V17" i="86" s="1"/>
  <c r="W17" i="86" s="1"/>
  <c r="X17" i="86" s="1"/>
  <c r="Y17" i="86" s="1"/>
  <c r="Z17" i="86" s="1"/>
  <c r="AA17" i="86" s="1"/>
  <c r="AB17" i="86" s="1"/>
  <c r="AC17" i="86" s="1"/>
  <c r="AD17" i="86" s="1"/>
  <c r="AE17" i="86" s="1"/>
  <c r="AF17" i="86" s="1"/>
  <c r="AG17" i="86" s="1"/>
  <c r="AH17" i="86" s="1"/>
  <c r="AI17" i="86" s="1"/>
  <c r="AJ17" i="86" s="1"/>
  <c r="G13" i="86"/>
  <c r="H13" i="86" s="1"/>
  <c r="I13" i="86" s="1"/>
  <c r="J13" i="86" s="1"/>
  <c r="F3" i="86"/>
  <c r="F3" i="88" s="1"/>
  <c r="F5" i="88" s="1"/>
  <c r="G10" i="86"/>
  <c r="H10" i="86" s="1"/>
  <c r="I10" i="86" s="1"/>
  <c r="J10" i="86" s="1"/>
  <c r="K10" i="86" s="1"/>
  <c r="L10" i="86" s="1"/>
  <c r="M10" i="86" s="1"/>
  <c r="N10" i="86" s="1"/>
  <c r="O10" i="86" s="1"/>
  <c r="P10" i="86" s="1"/>
  <c r="Q10" i="86" s="1"/>
  <c r="R10" i="86" s="1"/>
  <c r="S10" i="86" s="1"/>
  <c r="T10" i="86" s="1"/>
  <c r="U10" i="86" s="1"/>
  <c r="V10" i="86" s="1"/>
  <c r="W10" i="86" s="1"/>
  <c r="X10" i="86" s="1"/>
  <c r="Y10" i="86" s="1"/>
  <c r="Z10" i="86" s="1"/>
  <c r="AA10" i="86" s="1"/>
  <c r="AB10" i="86" s="1"/>
  <c r="AC10" i="86" s="1"/>
  <c r="AD10" i="86" s="1"/>
  <c r="AE10" i="86" s="1"/>
  <c r="AF10" i="86" s="1"/>
  <c r="AG10" i="86" s="1"/>
  <c r="AH10" i="86" s="1"/>
  <c r="AI10" i="86" s="1"/>
  <c r="AJ10" i="86" s="1"/>
  <c r="H7" i="86"/>
  <c r="I7" i="86" s="1"/>
  <c r="J7" i="86" s="1"/>
  <c r="K7" i="86" s="1"/>
  <c r="L7" i="86" s="1"/>
  <c r="M7" i="86" s="1"/>
  <c r="N7" i="86" s="1"/>
  <c r="O7" i="86" s="1"/>
  <c r="P7" i="86" s="1"/>
  <c r="Q7" i="86" s="1"/>
  <c r="R7" i="86" s="1"/>
  <c r="S7" i="86" s="1"/>
  <c r="T7" i="86" s="1"/>
  <c r="U7" i="86" s="1"/>
  <c r="V7" i="86" s="1"/>
  <c r="W7" i="86" s="1"/>
  <c r="X7" i="86" s="1"/>
  <c r="Y7" i="86" s="1"/>
  <c r="Z7" i="86" s="1"/>
  <c r="AA7" i="86" s="1"/>
  <c r="AB7" i="86" s="1"/>
  <c r="AC7" i="86" s="1"/>
  <c r="AD7" i="86" s="1"/>
  <c r="AE7" i="86" s="1"/>
  <c r="AF7" i="86" s="1"/>
  <c r="AG7" i="86" s="1"/>
  <c r="AH7" i="86" s="1"/>
  <c r="AI7" i="86" s="1"/>
  <c r="AJ7" i="86" s="1"/>
  <c r="F6" i="88" l="1"/>
  <c r="J12" i="88"/>
  <c r="G11" i="86"/>
  <c r="G9" i="86" s="1"/>
  <c r="D18" i="59"/>
  <c r="K13" i="86"/>
  <c r="L13" i="86" s="1"/>
  <c r="M13" i="86" s="1"/>
  <c r="N13" i="86" s="1"/>
  <c r="O13" i="86" s="1"/>
  <c r="P13" i="86" s="1"/>
  <c r="Q13" i="86" s="1"/>
  <c r="R13" i="86" s="1"/>
  <c r="S13" i="86" s="1"/>
  <c r="T13" i="86" s="1"/>
  <c r="U13" i="86" s="1"/>
  <c r="V13" i="86" s="1"/>
  <c r="W13" i="86" s="1"/>
  <c r="X13" i="86" s="1"/>
  <c r="Y13" i="86" s="1"/>
  <c r="Z13" i="86" s="1"/>
  <c r="AA13" i="86" s="1"/>
  <c r="AB13" i="86" s="1"/>
  <c r="AC13" i="86" s="1"/>
  <c r="AD13" i="86" s="1"/>
  <c r="AE13" i="86" s="1"/>
  <c r="AF13" i="86" s="1"/>
  <c r="AG13" i="86" s="1"/>
  <c r="AH13" i="86" s="1"/>
  <c r="AI13" i="86" s="1"/>
  <c r="AJ13" i="86" s="1"/>
  <c r="E20" i="59" l="1"/>
  <c r="F9" i="88"/>
  <c r="F7" i="88"/>
  <c r="H11" i="86"/>
  <c r="G6" i="88"/>
  <c r="K12" i="88"/>
  <c r="L13" i="88" s="1"/>
  <c r="K27" i="59"/>
  <c r="G9" i="88" l="1"/>
  <c r="H6" i="88"/>
  <c r="I11" i="86"/>
  <c r="H9" i="86"/>
  <c r="K9" i="59"/>
  <c r="F20" i="59" l="1"/>
  <c r="H9" i="88"/>
  <c r="I9" i="86"/>
  <c r="I6" i="88"/>
  <c r="M12" i="88"/>
  <c r="G20" i="59" l="1"/>
  <c r="I9" i="88"/>
  <c r="J6" i="88"/>
  <c r="J11" i="86"/>
  <c r="N12" i="88"/>
  <c r="M5" i="85"/>
  <c r="K11" i="86" l="1"/>
  <c r="J9" i="86"/>
  <c r="N5" i="85"/>
  <c r="O5" i="85" s="1"/>
  <c r="P5" i="85" s="1"/>
  <c r="Q5" i="85" s="1"/>
  <c r="R5" i="85" s="1"/>
  <c r="S5" i="85" s="1"/>
  <c r="T5" i="85" s="1"/>
  <c r="U5" i="85" s="1"/>
  <c r="V5" i="85" s="1"/>
  <c r="W5" i="85" s="1"/>
  <c r="X5" i="85" s="1"/>
  <c r="Y5" i="85" s="1"/>
  <c r="Z5" i="85" s="1"/>
  <c r="AA5" i="85" s="1"/>
  <c r="AB5" i="85" s="1"/>
  <c r="AC5" i="85" s="1"/>
  <c r="AD5" i="85" s="1"/>
  <c r="AE5" i="85" s="1"/>
  <c r="AF5" i="85" s="1"/>
  <c r="AG5" i="85" s="1"/>
  <c r="AH5" i="85" s="1"/>
  <c r="AI5" i="85" s="1"/>
  <c r="AJ5" i="85" s="1"/>
  <c r="AK5" i="85" s="1"/>
  <c r="AL5" i="85" s="1"/>
  <c r="AM5" i="85" s="1"/>
  <c r="AN5" i="85" s="1"/>
  <c r="AO5" i="85" s="1"/>
  <c r="AP5" i="85" s="1"/>
  <c r="J9" i="88"/>
  <c r="K6" i="88"/>
  <c r="O12" i="88"/>
  <c r="H20" i="59" l="1"/>
  <c r="K9" i="86"/>
  <c r="K9" i="88"/>
  <c r="P12" i="88"/>
  <c r="E9" i="59"/>
  <c r="F9" i="59" s="1"/>
  <c r="G9" i="59" s="1"/>
  <c r="H9" i="59" s="1"/>
  <c r="I9" i="59" s="1"/>
  <c r="I20" i="59" l="1"/>
  <c r="Q12" i="88"/>
  <c r="L9" i="59"/>
  <c r="M9" i="59" s="1"/>
  <c r="N9" i="59" s="1"/>
  <c r="O9" i="59" s="1"/>
  <c r="P9" i="59" s="1"/>
  <c r="Q9" i="59" s="1"/>
  <c r="R9" i="59" s="1"/>
  <c r="S9" i="59" s="1"/>
  <c r="T9" i="59" s="1"/>
  <c r="U9" i="59" s="1"/>
  <c r="V9" i="59" s="1"/>
  <c r="W9" i="59" s="1"/>
  <c r="X9" i="59" s="1"/>
  <c r="Y9" i="59" s="1"/>
  <c r="Z9" i="59" s="1"/>
  <c r="AA9" i="59" s="1"/>
  <c r="AB9" i="59" s="1"/>
  <c r="AC9" i="59" s="1"/>
  <c r="AD9" i="59" s="1"/>
  <c r="AE9" i="59" s="1"/>
  <c r="AF9" i="59" s="1"/>
  <c r="AG9" i="59" s="1"/>
  <c r="AH9" i="59" s="1"/>
  <c r="R12" i="88" l="1"/>
  <c r="S12" i="88" l="1"/>
  <c r="E11" i="59"/>
  <c r="F11" i="59"/>
  <c r="G11" i="59"/>
  <c r="H11" i="59"/>
  <c r="I11" i="59"/>
  <c r="J11" i="59"/>
  <c r="J13" i="59" s="1"/>
  <c r="K11" i="59"/>
  <c r="M11" i="59"/>
  <c r="N11" i="59"/>
  <c r="O11" i="59"/>
  <c r="P11" i="59"/>
  <c r="Q11" i="59"/>
  <c r="R11" i="59"/>
  <c r="S11" i="59"/>
  <c r="T11" i="59"/>
  <c r="U11" i="59"/>
  <c r="V11" i="59"/>
  <c r="W11" i="59"/>
  <c r="X11" i="59"/>
  <c r="Z11" i="59"/>
  <c r="AB11" i="59"/>
  <c r="AC11" i="59"/>
  <c r="AE11" i="59"/>
  <c r="AF11" i="59"/>
  <c r="AG11" i="59"/>
  <c r="D11" i="59"/>
  <c r="D12" i="59" s="1"/>
  <c r="E12" i="59" s="1"/>
  <c r="F12" i="59" s="1"/>
  <c r="G12" i="59" s="1"/>
  <c r="H12" i="59" s="1"/>
  <c r="I12" i="59" s="1"/>
  <c r="L11" i="59"/>
  <c r="AD11" i="59"/>
  <c r="D15" i="59"/>
  <c r="D24" i="59"/>
  <c r="L27" i="59"/>
  <c r="M27" i="59" s="1"/>
  <c r="N27" i="59" s="1"/>
  <c r="O27" i="59" s="1"/>
  <c r="P27" i="59" s="1"/>
  <c r="Q27" i="59" s="1"/>
  <c r="R27" i="59" s="1"/>
  <c r="S27" i="59" s="1"/>
  <c r="T27" i="59" s="1"/>
  <c r="U27" i="59" s="1"/>
  <c r="V27" i="59" s="1"/>
  <c r="W27" i="59" s="1"/>
  <c r="X27" i="59" s="1"/>
  <c r="Y27" i="59" s="1"/>
  <c r="Z27" i="59" s="1"/>
  <c r="AA27" i="59" s="1"/>
  <c r="AB27" i="59" s="1"/>
  <c r="AC27" i="59" s="1"/>
  <c r="AD27" i="59" s="1"/>
  <c r="AE27" i="59" s="1"/>
  <c r="AF27" i="59" s="1"/>
  <c r="AG27" i="59" s="1"/>
  <c r="AH27" i="59" s="1"/>
  <c r="T12" i="88" l="1"/>
  <c r="D28" i="59"/>
  <c r="D25" i="59"/>
  <c r="Y11" i="59"/>
  <c r="AA11" i="59"/>
  <c r="AH11" i="59"/>
  <c r="K13" i="59"/>
  <c r="N13" i="59"/>
  <c r="U12" i="88" l="1"/>
  <c r="AH13" i="59"/>
  <c r="D21" i="59"/>
  <c r="D19" i="59"/>
  <c r="D17" i="59"/>
  <c r="D23" i="59"/>
  <c r="Q13" i="59"/>
  <c r="T13" i="59"/>
  <c r="W13" i="59"/>
  <c r="S13" i="59"/>
  <c r="R13" i="59"/>
  <c r="U13" i="59"/>
  <c r="V13" i="59"/>
  <c r="Z13" i="59"/>
  <c r="Y13" i="59"/>
  <c r="X13" i="59"/>
  <c r="P13" i="59"/>
  <c r="O13" i="59"/>
  <c r="L13" i="59"/>
  <c r="M13" i="59"/>
  <c r="E13" i="59"/>
  <c r="F13" i="59"/>
  <c r="V12" i="88" l="1"/>
  <c r="E15" i="59"/>
  <c r="F15" i="59"/>
  <c r="AA13" i="59"/>
  <c r="G13" i="59"/>
  <c r="W12" i="88" l="1"/>
  <c r="G6" i="86"/>
  <c r="H6" i="86"/>
  <c r="G15" i="59"/>
  <c r="AB13" i="59"/>
  <c r="H13" i="59"/>
  <c r="X12" i="88" l="1"/>
  <c r="G14" i="86"/>
  <c r="G12" i="86" s="1"/>
  <c r="G8" i="86" s="1"/>
  <c r="G5" i="86"/>
  <c r="G4" i="86" s="1"/>
  <c r="H5" i="86"/>
  <c r="H4" i="86" s="1"/>
  <c r="H14" i="86"/>
  <c r="H12" i="86" s="1"/>
  <c r="H8" i="86" s="1"/>
  <c r="I6" i="86"/>
  <c r="H15" i="59"/>
  <c r="AC13" i="59"/>
  <c r="I13" i="59"/>
  <c r="Y12" i="88" l="1"/>
  <c r="F18" i="59"/>
  <c r="F28" i="59" s="1"/>
  <c r="E18" i="59"/>
  <c r="J6" i="86"/>
  <c r="I5" i="86"/>
  <c r="I4" i="86" s="1"/>
  <c r="I14" i="86"/>
  <c r="I12" i="86" s="1"/>
  <c r="I8" i="86" s="1"/>
  <c r="I15" i="59"/>
  <c r="J15" i="59"/>
  <c r="AD13" i="59"/>
  <c r="H3" i="86" l="1"/>
  <c r="H3" i="88" s="1"/>
  <c r="H7" i="88" s="1"/>
  <c r="H4" i="88"/>
  <c r="G3" i="86"/>
  <c r="G3" i="88" s="1"/>
  <c r="G7" i="88" s="1"/>
  <c r="G4" i="88"/>
  <c r="Z12" i="88"/>
  <c r="F24" i="59"/>
  <c r="F25" i="59" s="1"/>
  <c r="F17" i="59" s="1"/>
  <c r="G18" i="59"/>
  <c r="G24" i="59" s="1"/>
  <c r="G25" i="59" s="1"/>
  <c r="G19" i="59" s="1"/>
  <c r="E28" i="59"/>
  <c r="E24" i="59"/>
  <c r="E25" i="59" s="1"/>
  <c r="K6" i="86"/>
  <c r="J14" i="86"/>
  <c r="J12" i="86" s="1"/>
  <c r="J8" i="86" s="1"/>
  <c r="J5" i="86"/>
  <c r="J4" i="86" s="1"/>
  <c r="L6" i="86"/>
  <c r="K15" i="59"/>
  <c r="AE13" i="59"/>
  <c r="H5" i="88" l="1"/>
  <c r="I3" i="86"/>
  <c r="I3" i="88" s="1"/>
  <c r="I7" i="88" s="1"/>
  <c r="I4" i="88"/>
  <c r="G5" i="88"/>
  <c r="AA12" i="88"/>
  <c r="F21" i="59"/>
  <c r="F23" i="59"/>
  <c r="F19" i="59"/>
  <c r="E23" i="59"/>
  <c r="E19" i="59"/>
  <c r="E21" i="59"/>
  <c r="E17" i="59"/>
  <c r="G17" i="59"/>
  <c r="G21" i="59"/>
  <c r="G28" i="59"/>
  <c r="H18" i="59"/>
  <c r="H24" i="59" s="1"/>
  <c r="H25" i="59" s="1"/>
  <c r="H19" i="59" s="1"/>
  <c r="G23" i="59"/>
  <c r="K14" i="86"/>
  <c r="K12" i="86" s="1"/>
  <c r="K8" i="86" s="1"/>
  <c r="K5" i="86"/>
  <c r="K4" i="86" s="1"/>
  <c r="M6" i="86"/>
  <c r="L5" i="86"/>
  <c r="L4" i="86" s="1"/>
  <c r="L14" i="86"/>
  <c r="L12" i="86" s="1"/>
  <c r="L15" i="59"/>
  <c r="N6" i="86" s="1"/>
  <c r="AF13" i="59"/>
  <c r="J3" i="86" l="1"/>
  <c r="J3" i="88" s="1"/>
  <c r="J7" i="88" s="1"/>
  <c r="J4" i="88"/>
  <c r="I5" i="88"/>
  <c r="AB12" i="88"/>
  <c r="I18" i="59"/>
  <c r="I24" i="59" s="1"/>
  <c r="I25" i="59" s="1"/>
  <c r="H17" i="59"/>
  <c r="H21" i="59"/>
  <c r="H23" i="59"/>
  <c r="H28" i="59"/>
  <c r="M14" i="86"/>
  <c r="M12" i="86" s="1"/>
  <c r="M5" i="86"/>
  <c r="M4" i="86" s="1"/>
  <c r="N14" i="86"/>
  <c r="N12" i="86" s="1"/>
  <c r="N5" i="86"/>
  <c r="N4" i="86" s="1"/>
  <c r="M15" i="59"/>
  <c r="O6" i="86" s="1"/>
  <c r="AG13" i="59"/>
  <c r="I28" i="59" l="1"/>
  <c r="K3" i="86"/>
  <c r="K3" i="88" s="1"/>
  <c r="K7" i="88" s="1"/>
  <c r="K4" i="88"/>
  <c r="J5" i="88"/>
  <c r="AC12" i="88"/>
  <c r="I23" i="59"/>
  <c r="O14" i="86"/>
  <c r="O12" i="86" s="1"/>
  <c r="O5" i="86"/>
  <c r="O4" i="86" s="1"/>
  <c r="I21" i="59"/>
  <c r="I17" i="59"/>
  <c r="I19" i="59"/>
  <c r="N15" i="59"/>
  <c r="P6" i="86" s="1"/>
  <c r="K5" i="88" l="1"/>
  <c r="AD12" i="88"/>
  <c r="P5" i="86"/>
  <c r="P4" i="86" s="1"/>
  <c r="P14" i="86"/>
  <c r="P12" i="86" s="1"/>
  <c r="O15" i="59"/>
  <c r="Q6" i="86" s="1"/>
  <c r="AE12" i="88" l="1"/>
  <c r="Q5" i="86"/>
  <c r="Q4" i="86" s="1"/>
  <c r="Q14" i="86"/>
  <c r="Q12" i="86" s="1"/>
  <c r="P15" i="59"/>
  <c r="R6" i="86" s="1"/>
  <c r="AF12" i="88" l="1"/>
  <c r="R5" i="86"/>
  <c r="R4" i="86" s="1"/>
  <c r="R14" i="86"/>
  <c r="R12" i="86" s="1"/>
  <c r="Q15" i="59"/>
  <c r="S6" i="86" s="1"/>
  <c r="AG12" i="88" l="1"/>
  <c r="S5" i="86"/>
  <c r="S4" i="86" s="1"/>
  <c r="S14" i="86"/>
  <c r="S12" i="86" s="1"/>
  <c r="R15" i="59"/>
  <c r="T6" i="86" s="1"/>
  <c r="AH12" i="88" l="1"/>
  <c r="T5" i="86"/>
  <c r="T4" i="86" s="1"/>
  <c r="T14" i="86"/>
  <c r="T12" i="86" s="1"/>
  <c r="S15" i="59"/>
  <c r="U6" i="86" s="1"/>
  <c r="AI12" i="88" l="1"/>
  <c r="U14" i="86"/>
  <c r="U12" i="86" s="1"/>
  <c r="U5" i="86"/>
  <c r="U4" i="86" s="1"/>
  <c r="T15" i="59"/>
  <c r="V6" i="86" s="1"/>
  <c r="AJ12" i="88" l="1"/>
  <c r="V14" i="86"/>
  <c r="V12" i="86" s="1"/>
  <c r="V5" i="86"/>
  <c r="V4" i="86" s="1"/>
  <c r="U15" i="59"/>
  <c r="W6" i="86" s="1"/>
  <c r="W14" i="86" l="1"/>
  <c r="W12" i="86" s="1"/>
  <c r="W5" i="86"/>
  <c r="W4" i="86" s="1"/>
  <c r="V15" i="59"/>
  <c r="X6" i="86" s="1"/>
  <c r="X5" i="86" l="1"/>
  <c r="X4" i="86" s="1"/>
  <c r="X14" i="86"/>
  <c r="X12" i="86" s="1"/>
  <c r="W15" i="59"/>
  <c r="Y6" i="86" s="1"/>
  <c r="Y5" i="86" l="1"/>
  <c r="Y4" i="86" s="1"/>
  <c r="Y14" i="86"/>
  <c r="Y12" i="86" s="1"/>
  <c r="X15" i="59"/>
  <c r="Z6" i="86" s="1"/>
  <c r="Z5" i="86" l="1"/>
  <c r="Z4" i="86" s="1"/>
  <c r="Z14" i="86"/>
  <c r="Z12" i="86" s="1"/>
  <c r="Y15" i="59"/>
  <c r="AA6" i="86" s="1"/>
  <c r="AA5" i="86" l="1"/>
  <c r="AA4" i="86" s="1"/>
  <c r="AA14" i="86"/>
  <c r="AA12" i="86" s="1"/>
  <c r="Z15" i="59"/>
  <c r="AB6" i="86" s="1"/>
  <c r="AB5" i="86" l="1"/>
  <c r="AB4" i="86" s="1"/>
  <c r="AB14" i="86"/>
  <c r="AB12" i="86" s="1"/>
  <c r="AA15" i="59"/>
  <c r="AC6" i="86" s="1"/>
  <c r="AC14" i="86" l="1"/>
  <c r="AC12" i="86" s="1"/>
  <c r="AC5" i="86"/>
  <c r="AC4" i="86" s="1"/>
  <c r="AB15" i="59"/>
  <c r="AD6" i="86" s="1"/>
  <c r="AD14" i="86" l="1"/>
  <c r="AD12" i="86" s="1"/>
  <c r="AD5" i="86"/>
  <c r="AD4" i="86" s="1"/>
  <c r="AC15" i="59"/>
  <c r="AE6" i="86" s="1"/>
  <c r="AE14" i="86" l="1"/>
  <c r="AE12" i="86" s="1"/>
  <c r="AE5" i="86"/>
  <c r="AE4" i="86" s="1"/>
  <c r="AD15" i="59"/>
  <c r="AF6" i="86" s="1"/>
  <c r="AF5" i="86" l="1"/>
  <c r="AF4" i="86" s="1"/>
  <c r="AF14" i="86"/>
  <c r="AF12" i="86" s="1"/>
  <c r="AE15" i="59"/>
  <c r="AG6" i="86" s="1"/>
  <c r="AG5" i="86" l="1"/>
  <c r="AG4" i="86" s="1"/>
  <c r="AG14" i="86"/>
  <c r="AG12" i="86" s="1"/>
  <c r="AF15" i="59"/>
  <c r="AH6" i="86" s="1"/>
  <c r="AH5" i="86" l="1"/>
  <c r="AH4" i="86" s="1"/>
  <c r="AH14" i="86"/>
  <c r="AH12" i="86" s="1"/>
  <c r="AG15" i="59"/>
  <c r="AI6" i="86" s="1"/>
  <c r="AI5" i="86" l="1"/>
  <c r="AI4" i="86" s="1"/>
  <c r="AI14" i="86"/>
  <c r="AI12" i="86" s="1"/>
  <c r="AH15" i="59" l="1"/>
  <c r="AJ6" i="86" s="1"/>
  <c r="AJ5" i="86" l="1"/>
  <c r="AJ4" i="86" s="1"/>
  <c r="AJ14" i="86"/>
  <c r="AJ12" i="86" s="1"/>
  <c r="G13" i="88" l="1"/>
  <c r="F10" i="88"/>
  <c r="F11" i="88" s="1"/>
  <c r="F8" i="88"/>
  <c r="G10" i="88" l="1"/>
  <c r="G11" i="88" s="1"/>
  <c r="H13" i="88"/>
  <c r="G8" i="88"/>
  <c r="H10" i="88" l="1"/>
  <c r="H11" i="88" s="1"/>
  <c r="I13" i="88"/>
  <c r="H8" i="88"/>
  <c r="J13" i="88" l="1"/>
  <c r="I10" i="88"/>
  <c r="I11" i="88" s="1"/>
  <c r="I8" i="88"/>
  <c r="J10" i="88" l="1"/>
  <c r="J11" i="88" s="1"/>
  <c r="K13" i="88"/>
  <c r="J8" i="88"/>
  <c r="K10" i="88" l="1"/>
  <c r="K11" i="88" s="1"/>
  <c r="K8" i="88"/>
  <c r="M13" i="88" l="1"/>
  <c r="L10" i="88"/>
  <c r="L6" i="88" l="1"/>
  <c r="M10" i="88"/>
  <c r="N13" i="88"/>
  <c r="J18" i="59" l="1"/>
  <c r="L11" i="86"/>
  <c r="M15" i="86"/>
  <c r="O13" i="88"/>
  <c r="N10" i="88"/>
  <c r="L9" i="88"/>
  <c r="L8" i="88"/>
  <c r="L11" i="88"/>
  <c r="M11" i="86" l="1"/>
  <c r="M6" i="88"/>
  <c r="M11" i="88" s="1"/>
  <c r="N15" i="86"/>
  <c r="L18" i="59" s="1"/>
  <c r="K18" i="59"/>
  <c r="C30" i="59" s="1"/>
  <c r="P13" i="88"/>
  <c r="O10" i="88"/>
  <c r="N11" i="86" l="1"/>
  <c r="M8" i="88"/>
  <c r="M9" i="88"/>
  <c r="O15" i="86"/>
  <c r="N6" i="88"/>
  <c r="N9" i="88" s="1"/>
  <c r="Q13" i="88"/>
  <c r="P10" i="88"/>
  <c r="O11" i="86" l="1"/>
  <c r="N8" i="88"/>
  <c r="N11" i="88"/>
  <c r="O6" i="88"/>
  <c r="O8" i="88" s="1"/>
  <c r="M18" i="59"/>
  <c r="P15" i="86"/>
  <c r="O11" i="88"/>
  <c r="O9" i="88"/>
  <c r="Q10" i="88"/>
  <c r="R13" i="88"/>
  <c r="P11" i="86" l="1"/>
  <c r="N18" i="59"/>
  <c r="P6" i="88"/>
  <c r="P9" i="88" s="1"/>
  <c r="Q15" i="86"/>
  <c r="R15" i="86" s="1"/>
  <c r="S13" i="88"/>
  <c r="R10" i="88"/>
  <c r="O18" i="59" l="1"/>
  <c r="P11" i="88"/>
  <c r="P8" i="88"/>
  <c r="R11" i="86"/>
  <c r="Q11" i="86"/>
  <c r="Q6" i="88"/>
  <c r="Q11" i="88" s="1"/>
  <c r="R6" i="88"/>
  <c r="S15" i="86"/>
  <c r="P18" i="59"/>
  <c r="S10" i="88"/>
  <c r="T13" i="88"/>
  <c r="S11" i="86" l="1"/>
  <c r="Q8" i="88"/>
  <c r="Q9" i="88"/>
  <c r="S6" i="88"/>
  <c r="T15" i="86"/>
  <c r="Q18" i="59"/>
  <c r="T10" i="88"/>
  <c r="U13" i="88"/>
  <c r="R9" i="88"/>
  <c r="R8" i="88"/>
  <c r="R11" i="88"/>
  <c r="T11" i="86" l="1"/>
  <c r="U10" i="88"/>
  <c r="V13" i="88"/>
  <c r="U15" i="86"/>
  <c r="T6" i="88"/>
  <c r="R18" i="59"/>
  <c r="S11" i="88"/>
  <c r="S9" i="88"/>
  <c r="S8" i="88"/>
  <c r="U11" i="86" l="1"/>
  <c r="W13" i="88"/>
  <c r="V10" i="88"/>
  <c r="T11" i="88"/>
  <c r="T9" i="88"/>
  <c r="T8" i="88"/>
  <c r="V15" i="86"/>
  <c r="U6" i="88"/>
  <c r="S18" i="59"/>
  <c r="V11" i="86" l="1"/>
  <c r="W10" i="88"/>
  <c r="X13" i="88"/>
  <c r="W15" i="86"/>
  <c r="V6" i="88"/>
  <c r="T18" i="59"/>
  <c r="U9" i="88"/>
  <c r="U8" i="88"/>
  <c r="U11" i="88"/>
  <c r="W11" i="86" l="1"/>
  <c r="W6" i="88"/>
  <c r="X15" i="86"/>
  <c r="U18" i="59"/>
  <c r="X10" i="88"/>
  <c r="Y13" i="88"/>
  <c r="V11" i="88"/>
  <c r="V9" i="88"/>
  <c r="V8" i="88"/>
  <c r="X11" i="86" l="1"/>
  <c r="Y10" i="88"/>
  <c r="Z13" i="88"/>
  <c r="Y15" i="86"/>
  <c r="X6" i="88"/>
  <c r="V18" i="59"/>
  <c r="W9" i="88"/>
  <c r="W8" i="88"/>
  <c r="W11" i="88"/>
  <c r="Y11" i="86" l="1"/>
  <c r="Z10" i="88"/>
  <c r="AA13" i="88"/>
  <c r="X9" i="88"/>
  <c r="X11" i="88"/>
  <c r="X8" i="88"/>
  <c r="Z15" i="86"/>
  <c r="Y6" i="88"/>
  <c r="W18" i="59"/>
  <c r="Z11" i="86" l="1"/>
  <c r="Y9" i="88"/>
  <c r="Y11" i="88"/>
  <c r="Y8" i="88"/>
  <c r="Z6" i="88"/>
  <c r="AA15" i="86"/>
  <c r="X18" i="59"/>
  <c r="AA10" i="88"/>
  <c r="AB13" i="88"/>
  <c r="AA11" i="86" l="1"/>
  <c r="Z9" i="88"/>
  <c r="Z8" i="88"/>
  <c r="Z11" i="88"/>
  <c r="AB15" i="86"/>
  <c r="AA6" i="88"/>
  <c r="Y18" i="59"/>
  <c r="AB10" i="88"/>
  <c r="AC13" i="88"/>
  <c r="AB11" i="86" l="1"/>
  <c r="AC10" i="88"/>
  <c r="AD13" i="88"/>
  <c r="AA11" i="88"/>
  <c r="AA9" i="88"/>
  <c r="AA8" i="88"/>
  <c r="AB6" i="88"/>
  <c r="AC15" i="86"/>
  <c r="Z18" i="59"/>
  <c r="AC11" i="86" l="1"/>
  <c r="AE13" i="88"/>
  <c r="AD10" i="88"/>
  <c r="AC6" i="88"/>
  <c r="AD15" i="86"/>
  <c r="AA18" i="59"/>
  <c r="AB11" i="88"/>
  <c r="AB9" i="88"/>
  <c r="AB8" i="88"/>
  <c r="AD11" i="86" l="1"/>
  <c r="AE15" i="86"/>
  <c r="AD6" i="88"/>
  <c r="AB18" i="59"/>
  <c r="AF13" i="88"/>
  <c r="AE10" i="88"/>
  <c r="AC9" i="88"/>
  <c r="AC11" i="88"/>
  <c r="AC8" i="88"/>
  <c r="AE11" i="86" l="1"/>
  <c r="AD11" i="88"/>
  <c r="AD9" i="88"/>
  <c r="AD8" i="88"/>
  <c r="AF15" i="86"/>
  <c r="AE6" i="88"/>
  <c r="AC18" i="59"/>
  <c r="AF10" i="88"/>
  <c r="AG13" i="88"/>
  <c r="AF11" i="86" l="1"/>
  <c r="AE11" i="88"/>
  <c r="AE9" i="88"/>
  <c r="AE8" i="88"/>
  <c r="AG10" i="88"/>
  <c r="AH13" i="88"/>
  <c r="AG15" i="86"/>
  <c r="AF6" i="88"/>
  <c r="AD18" i="59"/>
  <c r="AG11" i="86" l="1"/>
  <c r="AH15" i="86"/>
  <c r="AG6" i="88"/>
  <c r="AE18" i="59"/>
  <c r="AH10" i="88"/>
  <c r="AI13" i="88"/>
  <c r="AF9" i="88"/>
  <c r="AF11" i="88"/>
  <c r="AF8" i="88"/>
  <c r="AH11" i="86" l="1"/>
  <c r="AI10" i="88"/>
  <c r="AJ13" i="88"/>
  <c r="AJ10" i="88" s="1"/>
  <c r="AG11" i="88"/>
  <c r="AG8" i="88"/>
  <c r="AG9" i="88"/>
  <c r="AH6" i="88"/>
  <c r="AI15" i="86"/>
  <c r="AF18" i="59"/>
  <c r="AI11" i="86" l="1"/>
  <c r="AI6" i="88"/>
  <c r="AJ15" i="86"/>
  <c r="AG18" i="59"/>
  <c r="AH9" i="88"/>
  <c r="AH8" i="88"/>
  <c r="AH11" i="88"/>
  <c r="AJ11" i="86" l="1"/>
  <c r="AI9" i="88"/>
  <c r="AI8" i="88"/>
  <c r="AI11" i="88"/>
  <c r="AJ6" i="88"/>
  <c r="AH18" i="59"/>
  <c r="AJ9" i="88" l="1"/>
  <c r="AJ11" i="88"/>
  <c r="AJ8" i="88"/>
  <c r="M9" i="86"/>
  <c r="L9" i="86"/>
  <c r="L8" i="86" s="1"/>
  <c r="L4" i="88" s="1"/>
  <c r="K20" i="59" l="1"/>
  <c r="M8" i="86"/>
  <c r="M4" i="88" s="1"/>
  <c r="L3" i="86"/>
  <c r="L3" i="88" s="1"/>
  <c r="L5" i="88" s="1"/>
  <c r="J20" i="59"/>
  <c r="M3" i="86" l="1"/>
  <c r="M3" i="88" s="1"/>
  <c r="M5" i="88" s="1"/>
  <c r="L7" i="88"/>
  <c r="N9" i="86"/>
  <c r="J28" i="59"/>
  <c r="J24" i="59"/>
  <c r="K24" i="59"/>
  <c r="K28" i="59"/>
  <c r="K26" i="59" s="1"/>
  <c r="M7" i="88" l="1"/>
  <c r="L20" i="59"/>
  <c r="N8" i="86"/>
  <c r="N4" i="88" s="1"/>
  <c r="O9" i="86"/>
  <c r="J25" i="59"/>
  <c r="J23" i="59" s="1"/>
  <c r="J26" i="59"/>
  <c r="J31" i="59"/>
  <c r="K25" i="59"/>
  <c r="N3" i="86" l="1"/>
  <c r="N3" i="88" s="1"/>
  <c r="N7" i="88" s="1"/>
  <c r="M20" i="59"/>
  <c r="O8" i="86"/>
  <c r="O4" i="88" s="1"/>
  <c r="K19" i="59"/>
  <c r="K17" i="59"/>
  <c r="K21" i="59"/>
  <c r="L28" i="59"/>
  <c r="L26" i="59" s="1"/>
  <c r="L24" i="59"/>
  <c r="K23" i="59"/>
  <c r="J17" i="59"/>
  <c r="J19" i="59"/>
  <c r="J21" i="59"/>
  <c r="P9" i="86"/>
  <c r="O3" i="86" l="1"/>
  <c r="O3" i="88" s="1"/>
  <c r="N5" i="88"/>
  <c r="N20" i="59"/>
  <c r="P8" i="86"/>
  <c r="P4" i="88" s="1"/>
  <c r="M28" i="59"/>
  <c r="M26" i="59" s="1"/>
  <c r="M24" i="59"/>
  <c r="Q9" i="86"/>
  <c r="O7" i="88"/>
  <c r="O5" i="88"/>
  <c r="L25" i="59"/>
  <c r="O20" i="59" l="1"/>
  <c r="Q8" i="86"/>
  <c r="Q4" i="88" s="1"/>
  <c r="P3" i="86"/>
  <c r="P3" i="88" s="1"/>
  <c r="P5" i="88" s="1"/>
  <c r="M25" i="59"/>
  <c r="M23" i="59" s="1"/>
  <c r="L19" i="59"/>
  <c r="L17" i="59"/>
  <c r="L21" i="59"/>
  <c r="L23" i="59"/>
  <c r="R9" i="86"/>
  <c r="N24" i="59"/>
  <c r="N28" i="59"/>
  <c r="N26" i="59" s="1"/>
  <c r="Q3" i="86" l="1"/>
  <c r="Q3" i="88" s="1"/>
  <c r="Q7" i="88" s="1"/>
  <c r="P7" i="88"/>
  <c r="P20" i="59"/>
  <c r="R8" i="86"/>
  <c r="R4" i="88" s="1"/>
  <c r="O28" i="59"/>
  <c r="O26" i="59" s="1"/>
  <c r="O24" i="59"/>
  <c r="N25" i="59"/>
  <c r="S9" i="86"/>
  <c r="M17" i="59"/>
  <c r="M19" i="59"/>
  <c r="M21" i="59"/>
  <c r="Q5" i="88" l="1"/>
  <c r="R3" i="86"/>
  <c r="R3" i="88" s="1"/>
  <c r="R5" i="88" s="1"/>
  <c r="Q20" i="59"/>
  <c r="S8" i="86"/>
  <c r="S4" i="88" s="1"/>
  <c r="O25" i="59"/>
  <c r="O23" i="59" s="1"/>
  <c r="P24" i="59"/>
  <c r="P28" i="59"/>
  <c r="P26" i="59" s="1"/>
  <c r="T9" i="86"/>
  <c r="N17" i="59"/>
  <c r="N19" i="59"/>
  <c r="N21" i="59"/>
  <c r="N23" i="59"/>
  <c r="S3" i="86" l="1"/>
  <c r="S3" i="88" s="1"/>
  <c r="S5" i="88" s="1"/>
  <c r="R7" i="88"/>
  <c r="R20" i="59"/>
  <c r="T8" i="86"/>
  <c r="T4" i="88" s="1"/>
  <c r="O17" i="59"/>
  <c r="O19" i="59"/>
  <c r="O21" i="59"/>
  <c r="U9" i="86"/>
  <c r="Q28" i="59"/>
  <c r="Q26" i="59" s="1"/>
  <c r="Q24" i="59"/>
  <c r="P25" i="59"/>
  <c r="S7" i="88" l="1"/>
  <c r="S20" i="59"/>
  <c r="U8" i="86"/>
  <c r="U4" i="88" s="1"/>
  <c r="T3" i="86"/>
  <c r="T3" i="88" s="1"/>
  <c r="T5" i="88" s="1"/>
  <c r="R24" i="59"/>
  <c r="R28" i="59"/>
  <c r="R26" i="59" s="1"/>
  <c r="P19" i="59"/>
  <c r="P17" i="59"/>
  <c r="P21" i="59"/>
  <c r="P23" i="59"/>
  <c r="V9" i="86"/>
  <c r="Q25" i="59"/>
  <c r="Q23" i="59" s="1"/>
  <c r="U3" i="86" l="1"/>
  <c r="U3" i="88" s="1"/>
  <c r="U7" i="88" s="1"/>
  <c r="T7" i="88"/>
  <c r="T20" i="59"/>
  <c r="V8" i="86"/>
  <c r="V4" i="88" s="1"/>
  <c r="W9" i="86"/>
  <c r="R25" i="59"/>
  <c r="Q19" i="59"/>
  <c r="Q17" i="59"/>
  <c r="Q21" i="59"/>
  <c r="S24" i="59"/>
  <c r="S28" i="59"/>
  <c r="S26" i="59" s="1"/>
  <c r="U5" i="88" l="1"/>
  <c r="V3" i="86"/>
  <c r="V3" i="88" s="1"/>
  <c r="V7" i="88" s="1"/>
  <c r="U20" i="59"/>
  <c r="W8" i="86"/>
  <c r="W4" i="88" s="1"/>
  <c r="S25" i="59"/>
  <c r="X9" i="86"/>
  <c r="T24" i="59"/>
  <c r="T28" i="59"/>
  <c r="T26" i="59" s="1"/>
  <c r="R17" i="59"/>
  <c r="R19" i="59"/>
  <c r="R21" i="59"/>
  <c r="R23" i="59"/>
  <c r="W3" i="86" l="1"/>
  <c r="W3" i="88" s="1"/>
  <c r="W7" i="88" s="1"/>
  <c r="V5" i="88"/>
  <c r="V20" i="59"/>
  <c r="X8" i="86"/>
  <c r="X4" i="88" s="1"/>
  <c r="Y9" i="86"/>
  <c r="T25" i="59"/>
  <c r="T23" i="59" s="1"/>
  <c r="U24" i="59"/>
  <c r="U28" i="59"/>
  <c r="U26" i="59" s="1"/>
  <c r="S19" i="59"/>
  <c r="S17" i="59"/>
  <c r="S21" i="59"/>
  <c r="S23" i="59"/>
  <c r="W5" i="88" l="1"/>
  <c r="W20" i="59"/>
  <c r="Y8" i="86"/>
  <c r="Y4" i="88" s="1"/>
  <c r="X3" i="86"/>
  <c r="X3" i="88" s="1"/>
  <c r="X5" i="88" s="1"/>
  <c r="T19" i="59"/>
  <c r="T17" i="59"/>
  <c r="T21" i="59"/>
  <c r="Z9" i="86"/>
  <c r="U25" i="59"/>
  <c r="V28" i="59"/>
  <c r="V26" i="59" s="1"/>
  <c r="V24" i="59"/>
  <c r="Y3" i="86" l="1"/>
  <c r="Y3" i="88" s="1"/>
  <c r="Y7" i="88" s="1"/>
  <c r="X7" i="88"/>
  <c r="X20" i="59"/>
  <c r="Z8" i="86"/>
  <c r="Z4" i="88" s="1"/>
  <c r="W28" i="59"/>
  <c r="W26" i="59" s="1"/>
  <c r="W24" i="59"/>
  <c r="U17" i="59"/>
  <c r="U19" i="59"/>
  <c r="U21" i="59"/>
  <c r="AA9" i="86"/>
  <c r="V25" i="59"/>
  <c r="U23" i="59"/>
  <c r="Z3" i="86" l="1"/>
  <c r="Z3" i="88" s="1"/>
  <c r="Z5" i="88" s="1"/>
  <c r="Y5" i="88"/>
  <c r="Y20" i="59"/>
  <c r="AA8" i="86"/>
  <c r="AA4" i="88" s="1"/>
  <c r="V17" i="59"/>
  <c r="V19" i="59"/>
  <c r="V21" i="59"/>
  <c r="X28" i="59"/>
  <c r="X26" i="59" s="1"/>
  <c r="X24" i="59"/>
  <c r="V23" i="59"/>
  <c r="W25" i="59"/>
  <c r="AB9" i="86"/>
  <c r="Z7" i="88" l="1"/>
  <c r="AA3" i="86"/>
  <c r="AA3" i="88" s="1"/>
  <c r="AA7" i="88" s="1"/>
  <c r="Z20" i="59"/>
  <c r="AB8" i="86"/>
  <c r="AB4" i="88" s="1"/>
  <c r="Y24" i="59"/>
  <c r="Y28" i="59"/>
  <c r="Y26" i="59" s="1"/>
  <c r="AC9" i="86"/>
  <c r="W17" i="59"/>
  <c r="W19" i="59"/>
  <c r="W21" i="59"/>
  <c r="W23" i="59"/>
  <c r="X25" i="59"/>
  <c r="X23" i="59" s="1"/>
  <c r="AB3" i="86" l="1"/>
  <c r="AB3" i="88" s="1"/>
  <c r="AB7" i="88" s="1"/>
  <c r="AA5" i="88"/>
  <c r="AA20" i="59"/>
  <c r="AC8" i="86"/>
  <c r="AC4" i="88" s="1"/>
  <c r="Z24" i="59"/>
  <c r="Z28" i="59"/>
  <c r="Z26" i="59" s="1"/>
  <c r="X19" i="59"/>
  <c r="X17" i="59"/>
  <c r="X21" i="59"/>
  <c r="AD9" i="86"/>
  <c r="Y25" i="59"/>
  <c r="Y23" i="59" s="1"/>
  <c r="AB5" i="88" l="1"/>
  <c r="AC3" i="86"/>
  <c r="AC3" i="88" s="1"/>
  <c r="AC5" i="88" s="1"/>
  <c r="AB20" i="59"/>
  <c r="AD8" i="86"/>
  <c r="AD4" i="88" s="1"/>
  <c r="Y17" i="59"/>
  <c r="Y19" i="59"/>
  <c r="Y21" i="59"/>
  <c r="AA24" i="59"/>
  <c r="AA28" i="59"/>
  <c r="AA26" i="59" s="1"/>
  <c r="Z25" i="59"/>
  <c r="AE9" i="86"/>
  <c r="AC7" i="88" l="1"/>
  <c r="AD3" i="86"/>
  <c r="AD3" i="88" s="1"/>
  <c r="AD5" i="88" s="1"/>
  <c r="AC20" i="59"/>
  <c r="AE8" i="86"/>
  <c r="AE4" i="88" s="1"/>
  <c r="AF9" i="86"/>
  <c r="Z19" i="59"/>
  <c r="Z17" i="59"/>
  <c r="Z21" i="59"/>
  <c r="Z23" i="59"/>
  <c r="AA25" i="59"/>
  <c r="AA23" i="59" s="1"/>
  <c r="AB28" i="59"/>
  <c r="AB26" i="59" s="1"/>
  <c r="AB24" i="59"/>
  <c r="AE3" i="86" l="1"/>
  <c r="AE3" i="88" s="1"/>
  <c r="AE5" i="88" s="1"/>
  <c r="AD7" i="88"/>
  <c r="AD20" i="59"/>
  <c r="AF8" i="86"/>
  <c r="AF4" i="88" s="1"/>
  <c r="AC28" i="59"/>
  <c r="AC26" i="59" s="1"/>
  <c r="AC24" i="59"/>
  <c r="AB25" i="59"/>
  <c r="AB23" i="59" s="1"/>
  <c r="AA19" i="59"/>
  <c r="AA17" i="59"/>
  <c r="AA21" i="59"/>
  <c r="AG9" i="86"/>
  <c r="AE7" i="88" l="1"/>
  <c r="AE20" i="59"/>
  <c r="AG8" i="86"/>
  <c r="AG4" i="88" s="1"/>
  <c r="AF3" i="86"/>
  <c r="AF3" i="88" s="1"/>
  <c r="AF7" i="88" s="1"/>
  <c r="AH9" i="86"/>
  <c r="AB17" i="59"/>
  <c r="AB19" i="59"/>
  <c r="AB21" i="59"/>
  <c r="AC25" i="59"/>
  <c r="AD24" i="59"/>
  <c r="AD28" i="59"/>
  <c r="AD26" i="59" s="1"/>
  <c r="AG3" i="86" l="1"/>
  <c r="AG3" i="88" s="1"/>
  <c r="AG7" i="88" s="1"/>
  <c r="AF5" i="88"/>
  <c r="AF20" i="59"/>
  <c r="AH8" i="86"/>
  <c r="AH4" i="88" s="1"/>
  <c r="AC17" i="59"/>
  <c r="AC19" i="59"/>
  <c r="AC21" i="59"/>
  <c r="AD25" i="59"/>
  <c r="AD23" i="59" s="1"/>
  <c r="AE28" i="59"/>
  <c r="AE26" i="59" s="1"/>
  <c r="AE24" i="59"/>
  <c r="AJ9" i="86"/>
  <c r="AI9" i="86"/>
  <c r="AC23" i="59"/>
  <c r="AH3" i="86" l="1"/>
  <c r="AH3" i="88" s="1"/>
  <c r="AH7" i="88" s="1"/>
  <c r="AG5" i="88"/>
  <c r="AG20" i="59"/>
  <c r="AI8" i="86"/>
  <c r="AI4" i="88" s="1"/>
  <c r="AH20" i="59"/>
  <c r="AJ8" i="86"/>
  <c r="AJ4" i="88" s="1"/>
  <c r="AF24" i="59"/>
  <c r="AF28" i="59"/>
  <c r="AF26" i="59" s="1"/>
  <c r="AE25" i="59"/>
  <c r="AD19" i="59"/>
  <c r="AD17" i="59"/>
  <c r="AD21" i="59"/>
  <c r="AH5" i="88" l="1"/>
  <c r="AI3" i="86"/>
  <c r="AI3" i="88" s="1"/>
  <c r="AI5" i="88" s="1"/>
  <c r="AJ3" i="86"/>
  <c r="AJ3" i="88" s="1"/>
  <c r="AJ7" i="88" s="1"/>
  <c r="AE19" i="59"/>
  <c r="AE17" i="59"/>
  <c r="AE21" i="59"/>
  <c r="AG28" i="59"/>
  <c r="AG26" i="59" s="1"/>
  <c r="AG24" i="59"/>
  <c r="AF25" i="59"/>
  <c r="AF23" i="59" s="1"/>
  <c r="AE23" i="59"/>
  <c r="AH24" i="59"/>
  <c r="AH28" i="59"/>
  <c r="AH26" i="59" s="1"/>
  <c r="AJ5" i="88" l="1"/>
  <c r="AI7" i="88"/>
  <c r="AH25" i="59"/>
  <c r="AF17" i="59"/>
  <c r="AF19" i="59"/>
  <c r="AF21" i="59"/>
  <c r="AG25" i="59"/>
  <c r="AG19" i="59" l="1"/>
  <c r="AG17" i="59"/>
  <c r="AG21" i="59"/>
  <c r="AG23" i="59"/>
  <c r="AH17" i="59"/>
  <c r="AH19" i="59"/>
  <c r="AH21" i="59"/>
  <c r="AH23" i="59"/>
</calcChain>
</file>

<file path=xl/sharedStrings.xml><?xml version="1.0" encoding="utf-8"?>
<sst xmlns="http://schemas.openxmlformats.org/spreadsheetml/2006/main" count="145" uniqueCount="102">
  <si>
    <t>A19</t>
  </si>
  <si>
    <t>A21</t>
  </si>
  <si>
    <t>%</t>
  </si>
  <si>
    <t>Fi46</t>
  </si>
  <si>
    <t>l/b/zi</t>
  </si>
  <si>
    <t>Op27</t>
  </si>
  <si>
    <t>ILI</t>
  </si>
  <si>
    <t>Op29</t>
  </si>
  <si>
    <t>Consum specific</t>
  </si>
  <si>
    <t>POPULATIE</t>
  </si>
  <si>
    <t>Nr. loc.</t>
  </si>
  <si>
    <t>Procent conectat</t>
  </si>
  <si>
    <t>Consumatori</t>
  </si>
  <si>
    <t xml:space="preserve"> l/ om / zi</t>
  </si>
  <si>
    <t>Cosum casnic</t>
  </si>
  <si>
    <t>Consum non-casnic</t>
  </si>
  <si>
    <t>Consum total</t>
  </si>
  <si>
    <t>mc /an</t>
  </si>
  <si>
    <t>mc/an</t>
  </si>
  <si>
    <t>Volum intrat</t>
  </si>
  <si>
    <t>ks</t>
  </si>
  <si>
    <t>kp</t>
  </si>
  <si>
    <t>A3</t>
  </si>
  <si>
    <t>Input total sistem (input apă brută)</t>
  </si>
  <si>
    <t>Coef. Pierderi</t>
  </si>
  <si>
    <t>Coef. Consum tehnologic</t>
  </si>
  <si>
    <t>Kp x ks</t>
  </si>
  <si>
    <t>Apa nevalorificata</t>
  </si>
  <si>
    <t>Consum apa</t>
  </si>
  <si>
    <t>factor</t>
  </si>
  <si>
    <t xml:space="preserve">Urban </t>
  </si>
  <si>
    <t>Rural</t>
  </si>
  <si>
    <t>Input</t>
  </si>
  <si>
    <t>Target consum specific:</t>
  </si>
  <si>
    <t>Scadere a pierderilor fizice 2024 [mc/an]:</t>
  </si>
  <si>
    <t>UARL</t>
  </si>
  <si>
    <t>Proiecţia principalilor indicatori macroeconomici (mai 2019) si estimarile Consultantului</t>
  </si>
  <si>
    <t>Rata de crestere a PIB in termeni reali, Romania</t>
  </si>
  <si>
    <t>Factor de elasticitate (venit)</t>
  </si>
  <si>
    <t>Factor de elasticitate (tarif)</t>
  </si>
  <si>
    <t>Factor elasticitate Calarasi-Ialomita</t>
  </si>
  <si>
    <t>estimat</t>
  </si>
  <si>
    <t>Factor elasticitate Mehedinti</t>
  </si>
  <si>
    <t>Factor elasticitate Sibiu-Brasov</t>
  </si>
  <si>
    <t>Consum Autorizat</t>
  </si>
  <si>
    <t>Consum Contorizat Facturat</t>
  </si>
  <si>
    <t>Consum Autorizat Facturat</t>
  </si>
  <si>
    <t>Volum Intrat in Sistem</t>
  </si>
  <si>
    <t>Consum Autorizat Nefacturat</t>
  </si>
  <si>
    <t>Consum Contorizat Nefacturat</t>
  </si>
  <si>
    <t>Consum Necontorizat Nefacturat</t>
  </si>
  <si>
    <t>Consum Necontorizat Facturat</t>
  </si>
  <si>
    <t>Pierderi Aparente</t>
  </si>
  <si>
    <t>Consum Neautorizat</t>
  </si>
  <si>
    <t>Erori contori si prelucrare date</t>
  </si>
  <si>
    <t>Pierderi Reale</t>
  </si>
  <si>
    <t>Consum tehnologic si Pierderi</t>
  </si>
  <si>
    <t>Apa Valorificata</t>
  </si>
  <si>
    <t>Apa Nevalorificata</t>
  </si>
  <si>
    <t>Urban</t>
  </si>
  <si>
    <t>Pierderi de apa</t>
  </si>
  <si>
    <t>Consum tehnologic ST</t>
  </si>
  <si>
    <t>Consum Tehnologic retea</t>
  </si>
  <si>
    <t>Total</t>
  </si>
  <si>
    <t>U.M.</t>
  </si>
  <si>
    <t>Pierderi</t>
  </si>
  <si>
    <t>A20</t>
  </si>
  <si>
    <t>A10</t>
  </si>
  <si>
    <t>A8</t>
  </si>
  <si>
    <t>A9</t>
  </si>
  <si>
    <t>A13</t>
  </si>
  <si>
    <t>A11</t>
  </si>
  <si>
    <t>A12</t>
  </si>
  <si>
    <t>A18</t>
  </si>
  <si>
    <t>A16</t>
  </si>
  <si>
    <t>A17</t>
  </si>
  <si>
    <t>mc/zi</t>
  </si>
  <si>
    <t>mc /zi</t>
  </si>
  <si>
    <t>Apa Nevalorificata (% din A3)</t>
  </si>
  <si>
    <t>Pierderi reale in retea</t>
  </si>
  <si>
    <t>Pierderi reale in retea (% din A3)</t>
  </si>
  <si>
    <t>Date retea</t>
  </si>
  <si>
    <t>Indicatori performanta</t>
  </si>
  <si>
    <t>Lungime retea</t>
  </si>
  <si>
    <t>km</t>
  </si>
  <si>
    <t>Numar bransmanete</t>
  </si>
  <si>
    <t>buc.</t>
  </si>
  <si>
    <t>Presiune medie</t>
  </si>
  <si>
    <t>mCA</t>
  </si>
  <si>
    <t>Lungime bransament*</t>
  </si>
  <si>
    <t>m</t>
  </si>
  <si>
    <t>Pierderi reale pe bransament</t>
  </si>
  <si>
    <t>Pierderi reala pe km conducta</t>
  </si>
  <si>
    <t>mc/km/zi</t>
  </si>
  <si>
    <t>D34</t>
  </si>
  <si>
    <t>C25</t>
  </si>
  <si>
    <t>C24</t>
  </si>
  <si>
    <t>C8</t>
  </si>
  <si>
    <t>Op28</t>
  </si>
  <si>
    <t>Prognoza Balanta Apei</t>
  </si>
  <si>
    <t>Indicatori de performanta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</si>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</sst>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l_e_i_-;\-* #,##0.00\ _l_e_i_-;_-* &quot;-&quot;??\ _l_e_i_-;_-@_-"/>
    <numFmt numFmtId="165" formatCode="_-* #,##0.00\ _R_O_N_-;\-* #,##0.00\ _R_O_N_-;_-* &quot;-&quot;??\ _R_O_N_-;_-@_-"/>
    <numFmt numFmtId="166" formatCode="0.0%"/>
    <numFmt numFmtId="167" formatCode="0.000"/>
    <numFmt numFmtId="168" formatCode="_(* #,##0.00_);_(* \(#,##0.00\);_(* &quot;-&quot;??_);_(@_)"/>
    <numFmt numFmtId="169" formatCode="#,##0.0"/>
  </numFmts>
  <fonts count="21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  <font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3" borderId="0" applyNumberFormat="0" applyBorder="0" applyAlignment="0" applyProtection="0"/>
    <xf numFmtId="0" fontId="2" fillId="4" borderId="0" applyNumberFormat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/>
    <xf numFmtId="0" fontId="0" fillId="0" borderId="12" xfId="0" applyBorder="1"/>
    <xf numFmtId="2" fontId="0" fillId="0" borderId="1" xfId="0" applyNumberFormat="1" applyBorder="1"/>
    <xf numFmtId="2" fontId="0" fillId="0" borderId="14" xfId="0" applyNumberFormat="1" applyBorder="1"/>
    <xf numFmtId="10" fontId="0" fillId="0" borderId="1" xfId="0" applyNumberFormat="1" applyBorder="1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7" fillId="0" borderId="12" xfId="0" applyFont="1" applyBorder="1"/>
    <xf numFmtId="0" fontId="7" fillId="0" borderId="6" xfId="0" applyFont="1" applyBorder="1"/>
    <xf numFmtId="0" fontId="3" fillId="0" borderId="15" xfId="0" applyFont="1" applyBorder="1"/>
    <xf numFmtId="166" fontId="0" fillId="0" borderId="7" xfId="0" applyNumberFormat="1" applyFill="1" applyBorder="1"/>
    <xf numFmtId="166" fontId="0" fillId="0" borderId="7" xfId="0" applyNumberFormat="1" applyBorder="1"/>
    <xf numFmtId="0" fontId="5" fillId="3" borderId="21" xfId="1" applyFont="1" applyBorder="1"/>
    <xf numFmtId="10" fontId="0" fillId="0" borderId="10" xfId="0" applyNumberFormat="1" applyBorder="1"/>
    <xf numFmtId="3" fontId="0" fillId="6" borderId="1" xfId="0" applyNumberFormat="1" applyFill="1" applyBorder="1"/>
    <xf numFmtId="166" fontId="0" fillId="6" borderId="7" xfId="0" applyNumberFormat="1" applyFill="1" applyBorder="1"/>
    <xf numFmtId="10" fontId="0" fillId="6" borderId="1" xfId="0" applyNumberFormat="1" applyFill="1" applyBorder="1"/>
    <xf numFmtId="10" fontId="0" fillId="6" borderId="10" xfId="0" applyNumberFormat="1" applyFill="1" applyBorder="1"/>
    <xf numFmtId="3" fontId="0" fillId="6" borderId="10" xfId="0" applyNumberFormat="1" applyFill="1" applyBorder="1"/>
    <xf numFmtId="3" fontId="0" fillId="7" borderId="1" xfId="0" applyNumberFormat="1" applyFill="1" applyBorder="1"/>
    <xf numFmtId="10" fontId="9" fillId="6" borderId="10" xfId="0" applyNumberFormat="1" applyFont="1" applyFill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/>
    <xf numFmtId="164" fontId="3" fillId="5" borderId="0" xfId="6" applyNumberFormat="1" applyFont="1" applyFill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/>
    <xf numFmtId="2" fontId="0" fillId="9" borderId="14" xfId="0" applyNumberFormat="1" applyFill="1" applyBorder="1"/>
    <xf numFmtId="2" fontId="10" fillId="0" borderId="14" xfId="0" applyNumberFormat="1" applyFont="1" applyBorder="1"/>
    <xf numFmtId="0" fontId="0" fillId="0" borderId="5" xfId="0" applyBorder="1" applyAlignment="1">
      <alignment horizontal="center" vertical="center" wrapText="1"/>
    </xf>
    <xf numFmtId="2" fontId="0" fillId="9" borderId="1" xfId="0" applyNumberFormat="1" applyFill="1" applyBorder="1"/>
    <xf numFmtId="2" fontId="10" fillId="0" borderId="1" xfId="0" applyNumberFormat="1" applyFont="1" applyBorder="1"/>
    <xf numFmtId="0" fontId="0" fillId="0" borderId="7" xfId="0" applyBorder="1"/>
    <xf numFmtId="167" fontId="0" fillId="0" borderId="8" xfId="0" applyNumberFormat="1" applyBorder="1"/>
    <xf numFmtId="3" fontId="0" fillId="0" borderId="10" xfId="0" applyNumberFormat="1" applyFill="1" applyBorder="1"/>
    <xf numFmtId="2" fontId="0" fillId="2" borderId="7" xfId="0" applyNumberFormat="1" applyFill="1" applyBorder="1"/>
    <xf numFmtId="3" fontId="0" fillId="0" borderId="7" xfId="0" applyNumberFormat="1" applyFill="1" applyBorder="1"/>
    <xf numFmtId="3" fontId="10" fillId="0" borderId="1" xfId="0" applyNumberFormat="1" applyFont="1" applyBorder="1"/>
    <xf numFmtId="2" fontId="10" fillId="2" borderId="14" xfId="0" applyNumberFormat="1" applyFont="1" applyFill="1" applyBorder="1"/>
    <xf numFmtId="2" fontId="10" fillId="2" borderId="1" xfId="0" applyNumberFormat="1" applyFont="1" applyFill="1" applyBorder="1"/>
    <xf numFmtId="3" fontId="0" fillId="0" borderId="1" xfId="0" applyNumberFormat="1" applyFill="1" applyBorder="1"/>
    <xf numFmtId="3" fontId="7" fillId="6" borderId="7" xfId="0" applyNumberFormat="1" applyFont="1" applyFill="1" applyBorder="1"/>
    <xf numFmtId="3" fontId="7" fillId="0" borderId="7" xfId="0" applyNumberFormat="1" applyFont="1" applyBorder="1"/>
    <xf numFmtId="3" fontId="0" fillId="0" borderId="10" xfId="0" applyNumberFormat="1" applyBorder="1"/>
    <xf numFmtId="2" fontId="13" fillId="0" borderId="14" xfId="0" applyNumberFormat="1" applyFont="1" applyBorder="1"/>
    <xf numFmtId="0" fontId="6" fillId="4" borderId="2" xfId="2" applyFont="1" applyBorder="1" applyAlignment="1"/>
    <xf numFmtId="0" fontId="6" fillId="4" borderId="3" xfId="2" applyFont="1" applyBorder="1" applyAlignment="1"/>
    <xf numFmtId="0" fontId="6" fillId="4" borderId="4" xfId="2" applyFont="1" applyBorder="1" applyAlignment="1"/>
    <xf numFmtId="9" fontId="15" fillId="10" borderId="28" xfId="4" applyFont="1" applyFill="1" applyBorder="1" applyAlignment="1">
      <alignment horizontal="center" vertical="center"/>
    </xf>
    <xf numFmtId="3" fontId="15" fillId="10" borderId="28" xfId="4" applyNumberFormat="1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vertical="center"/>
    </xf>
    <xf numFmtId="3" fontId="17" fillId="10" borderId="28" xfId="4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12" fillId="0" borderId="10" xfId="0" applyNumberFormat="1" applyFont="1" applyFill="1" applyBorder="1"/>
    <xf numFmtId="169" fontId="0" fillId="6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9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3" fontId="14" fillId="0" borderId="0" xfId="0" applyNumberFormat="1" applyFont="1"/>
    <xf numFmtId="3" fontId="14" fillId="0" borderId="1" xfId="0" applyNumberFormat="1" applyFont="1" applyBorder="1" applyAlignment="1">
      <alignment horizontal="center"/>
    </xf>
    <xf numFmtId="166" fontId="14" fillId="2" borderId="1" xfId="4" applyNumberFormat="1" applyFont="1" applyFill="1" applyBorder="1" applyProtection="1">
      <protection locked="0"/>
    </xf>
    <xf numFmtId="166" fontId="14" fillId="0" borderId="1" xfId="4" applyNumberFormat="1" applyFont="1" applyBorder="1" applyProtection="1">
      <protection locked="0"/>
    </xf>
    <xf numFmtId="3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/>
    </xf>
    <xf numFmtId="4" fontId="14" fillId="2" borderId="1" xfId="6" applyNumberFormat="1" applyFont="1" applyFill="1" applyBorder="1" applyAlignment="1" applyProtection="1">
      <alignment horizontal="center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3" fontId="10" fillId="0" borderId="10" xfId="0" applyNumberFormat="1" applyFont="1" applyFill="1" applyBorder="1"/>
    <xf numFmtId="0" fontId="0" fillId="0" borderId="0" xfId="0" applyAlignment="1">
      <alignment horizontal="center"/>
    </xf>
    <xf numFmtId="169" fontId="3" fillId="0" borderId="1" xfId="0" applyNumberFormat="1" applyFont="1" applyBorder="1" applyAlignment="1">
      <alignment vertical="center" wrapText="1"/>
    </xf>
    <xf numFmtId="3" fontId="3" fillId="7" borderId="1" xfId="0" applyNumberFormat="1" applyFont="1" applyFill="1" applyBorder="1"/>
    <xf numFmtId="3" fontId="3" fillId="0" borderId="1" xfId="0" applyNumberFormat="1" applyFont="1" applyBorder="1" applyAlignment="1">
      <alignment vertical="center" wrapText="1"/>
    </xf>
    <xf numFmtId="2" fontId="12" fillId="0" borderId="14" xfId="0" applyNumberFormat="1" applyFont="1" applyBorder="1"/>
    <xf numFmtId="0" fontId="1" fillId="0" borderId="1" xfId="0" applyFont="1" applyBorder="1"/>
    <xf numFmtId="3" fontId="10" fillId="0" borderId="1" xfId="0" applyNumberFormat="1" applyFont="1" applyFill="1" applyBorder="1"/>
    <xf numFmtId="3" fontId="10" fillId="0" borderId="7" xfId="0" applyNumberFormat="1" applyFont="1" applyFill="1" applyBorder="1"/>
    <xf numFmtId="3" fontId="0" fillId="0" borderId="35" xfId="0" applyNumberFormat="1" applyFont="1" applyBorder="1" applyAlignment="1">
      <alignment vertical="center" wrapText="1"/>
    </xf>
    <xf numFmtId="3" fontId="0" fillId="0" borderId="7" xfId="0" applyNumberFormat="1" applyFont="1" applyBorder="1" applyAlignment="1">
      <alignment vertical="center" wrapText="1"/>
    </xf>
    <xf numFmtId="0" fontId="0" fillId="0" borderId="35" xfId="0" applyBorder="1" applyAlignment="1">
      <alignment horizontal="center"/>
    </xf>
    <xf numFmtId="0" fontId="5" fillId="3" borderId="21" xfId="1" applyFont="1" applyBorder="1" applyAlignment="1">
      <alignment horizontal="center"/>
    </xf>
    <xf numFmtId="0" fontId="5" fillId="3" borderId="22" xfId="1" applyFont="1" applyBorder="1"/>
    <xf numFmtId="3" fontId="10" fillId="0" borderId="35" xfId="0" applyNumberFormat="1" applyFont="1" applyBorder="1"/>
    <xf numFmtId="3" fontId="1" fillId="0" borderId="1" xfId="0" applyNumberFormat="1" applyFont="1" applyBorder="1" applyAlignment="1">
      <alignment vertical="center" wrapText="1"/>
    </xf>
    <xf numFmtId="3" fontId="3" fillId="0" borderId="16" xfId="0" applyNumberFormat="1" applyFont="1" applyBorder="1"/>
    <xf numFmtId="9" fontId="0" fillId="0" borderId="0" xfId="0" applyNumberFormat="1"/>
    <xf numFmtId="0" fontId="0" fillId="0" borderId="40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40" xfId="0" applyBorder="1"/>
    <xf numFmtId="0" fontId="0" fillId="0" borderId="30" xfId="0" applyFont="1" applyBorder="1"/>
    <xf numFmtId="0" fontId="0" fillId="0" borderId="3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vertical="center" wrapText="1"/>
    </xf>
    <xf numFmtId="3" fontId="0" fillId="0" borderId="35" xfId="0" applyNumberFormat="1" applyFont="1" applyFill="1" applyBorder="1" applyAlignment="1">
      <alignment vertical="center" wrapText="1"/>
    </xf>
    <xf numFmtId="3" fontId="10" fillId="0" borderId="36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/>
    <xf numFmtId="3" fontId="20" fillId="0" borderId="1" xfId="0" applyNumberFormat="1" applyFont="1" applyFill="1" applyBorder="1"/>
    <xf numFmtId="3" fontId="1" fillId="0" borderId="9" xfId="0" applyNumberFormat="1" applyFont="1" applyFill="1" applyBorder="1"/>
    <xf numFmtId="3" fontId="6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9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0" fillId="0" borderId="7" xfId="0" applyNumberFormat="1" applyFont="1" applyFill="1" applyBorder="1" applyAlignment="1">
      <alignment vertical="center" wrapText="1"/>
    </xf>
    <xf numFmtId="3" fontId="0" fillId="0" borderId="8" xfId="0" applyNumberFormat="1" applyFont="1" applyFill="1" applyBorder="1" applyAlignment="1">
      <alignment vertical="center" wrapText="1"/>
    </xf>
    <xf numFmtId="3" fontId="10" fillId="0" borderId="35" xfId="0" applyNumberFormat="1" applyFont="1" applyFill="1" applyBorder="1"/>
    <xf numFmtId="3" fontId="10" fillId="0" borderId="36" xfId="0" applyNumberFormat="1" applyFont="1" applyFill="1" applyBorder="1"/>
    <xf numFmtId="3" fontId="0" fillId="0" borderId="9" xfId="0" applyNumberFormat="1" applyFill="1" applyBorder="1"/>
    <xf numFmtId="3" fontId="12" fillId="0" borderId="1" xfId="0" applyNumberFormat="1" applyFont="1" applyFill="1" applyBorder="1"/>
    <xf numFmtId="3" fontId="12" fillId="0" borderId="7" xfId="0" applyNumberFormat="1" applyFont="1" applyFill="1" applyBorder="1"/>
    <xf numFmtId="3" fontId="0" fillId="0" borderId="8" xfId="0" applyNumberFormat="1" applyFill="1" applyBorder="1"/>
    <xf numFmtId="166" fontId="0" fillId="0" borderId="8" xfId="0" applyNumberFormat="1" applyFill="1" applyBorder="1"/>
    <xf numFmtId="3" fontId="7" fillId="0" borderId="8" xfId="0" applyNumberFormat="1" applyFont="1" applyFill="1" applyBorder="1"/>
    <xf numFmtId="10" fontId="0" fillId="0" borderId="9" xfId="0" applyNumberFormat="1" applyFill="1" applyBorder="1"/>
    <xf numFmtId="10" fontId="0" fillId="0" borderId="11" xfId="0" applyNumberFormat="1" applyFill="1" applyBorder="1"/>
    <xf numFmtId="0" fontId="0" fillId="0" borderId="0" xfId="0" applyAlignment="1">
      <alignment horizontal="center"/>
    </xf>
    <xf numFmtId="3" fontId="3" fillId="6" borderId="16" xfId="0" applyNumberFormat="1" applyFont="1" applyFill="1" applyBorder="1"/>
    <xf numFmtId="3" fontId="6" fillId="0" borderId="16" xfId="2" applyNumberFormat="1" applyFont="1" applyFill="1" applyBorder="1" applyAlignment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7" xfId="0" applyFont="1" applyBorder="1" applyAlignment="1">
      <alignment horizontal="center"/>
    </xf>
    <xf numFmtId="3" fontId="0" fillId="0" borderId="7" xfId="0" applyNumberFormat="1" applyFont="1" applyFill="1" applyBorder="1"/>
    <xf numFmtId="2" fontId="0" fillId="0" borderId="1" xfId="0" applyNumberFormat="1" applyFont="1" applyFill="1" applyBorder="1"/>
    <xf numFmtId="10" fontId="0" fillId="0" borderId="1" xfId="0" applyNumberFormat="1" applyFont="1" applyFill="1" applyBorder="1"/>
    <xf numFmtId="2" fontId="0" fillId="0" borderId="1" xfId="0" applyNumberFormat="1" applyFont="1" applyBorder="1"/>
    <xf numFmtId="2" fontId="10" fillId="0" borderId="1" xfId="0" applyNumberFormat="1" applyFont="1" applyFill="1" applyBorder="1"/>
    <xf numFmtId="0" fontId="0" fillId="0" borderId="1" xfId="0" applyFont="1" applyBorder="1"/>
    <xf numFmtId="10" fontId="0" fillId="0" borderId="1" xfId="0" applyNumberFormat="1" applyFont="1" applyFill="1" applyBorder="1" applyAlignment="1">
      <alignment vertical="center" wrapText="1"/>
    </xf>
    <xf numFmtId="10" fontId="0" fillId="0" borderId="1" xfId="0" applyNumberFormat="1" applyFont="1" applyBorder="1" applyAlignment="1">
      <alignment vertical="center" wrapText="1"/>
    </xf>
    <xf numFmtId="0" fontId="5" fillId="3" borderId="16" xfId="1" applyFont="1" applyBorder="1" applyAlignment="1">
      <alignment horizontal="center"/>
    </xf>
    <xf numFmtId="0" fontId="5" fillId="3" borderId="16" xfId="1" applyFont="1" applyBorder="1"/>
    <xf numFmtId="0" fontId="5" fillId="3" borderId="20" xfId="1" applyFont="1" applyBorder="1"/>
    <xf numFmtId="0" fontId="0" fillId="0" borderId="13" xfId="0" applyFill="1" applyBorder="1" applyAlignment="1">
      <alignment horizontal="left" vertical="top" wrapText="1"/>
    </xf>
    <xf numFmtId="0" fontId="2" fillId="0" borderId="14" xfId="2" applyFont="1" applyFill="1" applyBorder="1" applyAlignment="1"/>
    <xf numFmtId="0" fontId="0" fillId="0" borderId="14" xfId="0" applyFont="1" applyFill="1" applyBorder="1" applyAlignment="1">
      <alignment horizontal="center"/>
    </xf>
    <xf numFmtId="2" fontId="2" fillId="0" borderId="14" xfId="2" applyNumberFormat="1" applyFont="1" applyFill="1" applyBorder="1" applyAlignment="1"/>
    <xf numFmtId="2" fontId="2" fillId="0" borderId="46" xfId="2" applyNumberFormat="1" applyFont="1" applyFill="1" applyBorder="1" applyAlignment="1"/>
    <xf numFmtId="0" fontId="0" fillId="0" borderId="5" xfId="0" applyFill="1" applyBorder="1" applyAlignment="1">
      <alignment horizontal="left" vertical="top" wrapText="1"/>
    </xf>
    <xf numFmtId="2" fontId="0" fillId="0" borderId="9" xfId="0" applyNumberFormat="1" applyFont="1" applyFill="1" applyBorder="1"/>
    <xf numFmtId="10" fontId="10" fillId="0" borderId="9" xfId="0" applyNumberFormat="1" applyFont="1" applyFill="1" applyBorder="1" applyAlignment="1">
      <alignment vertical="center" wrapText="1"/>
    </xf>
    <xf numFmtId="10" fontId="0" fillId="0" borderId="9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6" fillId="4" borderId="39" xfId="2" applyFont="1" applyBorder="1" applyAlignment="1"/>
    <xf numFmtId="0" fontId="0" fillId="0" borderId="45" xfId="0" applyFill="1" applyBorder="1" applyAlignment="1">
      <alignment horizontal="left" vertical="top" wrapText="1"/>
    </xf>
    <xf numFmtId="2" fontId="10" fillId="0" borderId="14" xfId="0" applyNumberFormat="1" applyFont="1" applyFill="1" applyBorder="1"/>
    <xf numFmtId="2" fontId="10" fillId="0" borderId="46" xfId="0" applyNumberFormat="1" applyFont="1" applyFill="1" applyBorder="1"/>
    <xf numFmtId="2" fontId="0" fillId="0" borderId="1" xfId="0" applyNumberFormat="1" applyFont="1" applyBorder="1" applyAlignment="1">
      <alignment vertical="center" wrapText="1"/>
    </xf>
    <xf numFmtId="2" fontId="0" fillId="0" borderId="1" xfId="0" applyNumberFormat="1" applyFont="1" applyFill="1" applyBorder="1" applyAlignment="1">
      <alignment vertical="center" wrapText="1"/>
    </xf>
    <xf numFmtId="2" fontId="0" fillId="0" borderId="9" xfId="0" applyNumberFormat="1" applyFont="1" applyFill="1" applyBorder="1" applyAlignment="1">
      <alignment vertical="center" wrapText="1"/>
    </xf>
    <xf numFmtId="3" fontId="3" fillId="0" borderId="20" xfId="0" applyNumberFormat="1" applyFont="1" applyFill="1" applyBorder="1"/>
    <xf numFmtId="2" fontId="3" fillId="0" borderId="1" xfId="0" applyNumberFormat="1" applyFont="1" applyFill="1" applyBorder="1"/>
    <xf numFmtId="2" fontId="3" fillId="0" borderId="9" xfId="0" applyNumberFormat="1" applyFont="1" applyFill="1" applyBorder="1"/>
    <xf numFmtId="2" fontId="3" fillId="0" borderId="7" xfId="0" applyNumberFormat="1" applyFont="1" applyFill="1" applyBorder="1"/>
    <xf numFmtId="2" fontId="3" fillId="0" borderId="7" xfId="0" applyNumberFormat="1" applyFont="1" applyBorder="1" applyAlignment="1">
      <alignment vertical="center" wrapText="1"/>
    </xf>
    <xf numFmtId="2" fontId="3" fillId="0" borderId="7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3" fontId="6" fillId="0" borderId="20" xfId="2" applyNumberFormat="1" applyFont="1" applyFill="1" applyBorder="1" applyAlignment="1"/>
    <xf numFmtId="3" fontId="6" fillId="6" borderId="16" xfId="2" applyNumberFormat="1" applyFont="1" applyFill="1" applyBorder="1" applyAlignment="1"/>
    <xf numFmtId="3" fontId="0" fillId="6" borderId="35" xfId="0" applyNumberFormat="1" applyFont="1" applyFill="1" applyBorder="1" applyAlignment="1">
      <alignment vertical="center" wrapText="1"/>
    </xf>
    <xf numFmtId="3" fontId="1" fillId="6" borderId="1" xfId="0" applyNumberFormat="1" applyFont="1" applyFill="1" applyBorder="1"/>
    <xf numFmtId="3" fontId="1" fillId="6" borderId="7" xfId="0" applyNumberFormat="1" applyFont="1" applyFill="1" applyBorder="1"/>
    <xf numFmtId="3" fontId="0" fillId="6" borderId="35" xfId="0" applyNumberFormat="1" applyFill="1" applyBorder="1"/>
    <xf numFmtId="3" fontId="0" fillId="6" borderId="7" xfId="0" applyNumberFormat="1" applyFill="1" applyBorder="1"/>
    <xf numFmtId="0" fontId="6" fillId="0" borderId="16" xfId="2" applyFont="1" applyFill="1" applyBorder="1" applyAlignment="1"/>
    <xf numFmtId="0" fontId="6" fillId="0" borderId="16" xfId="0" applyFont="1" applyFill="1" applyBorder="1" applyAlignment="1">
      <alignment horizontal="center"/>
    </xf>
    <xf numFmtId="3" fontId="0" fillId="0" borderId="36" xfId="0" applyNumberFormat="1" applyFont="1" applyFill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3" fontId="3" fillId="6" borderId="14" xfId="0" applyNumberFormat="1" applyFont="1" applyFill="1" applyBorder="1"/>
    <xf numFmtId="3" fontId="3" fillId="0" borderId="14" xfId="0" applyNumberFormat="1" applyFont="1" applyBorder="1" applyAlignment="1">
      <alignment vertical="center" wrapText="1"/>
    </xf>
    <xf numFmtId="3" fontId="3" fillId="0" borderId="14" xfId="0" applyNumberFormat="1" applyFont="1" applyFill="1" applyBorder="1" applyAlignment="1">
      <alignment vertical="center" wrapText="1"/>
    </xf>
    <xf numFmtId="3" fontId="3" fillId="0" borderId="46" xfId="0" applyNumberFormat="1" applyFont="1" applyFill="1" applyBorder="1" applyAlignment="1">
      <alignment vertical="center" wrapText="1"/>
    </xf>
    <xf numFmtId="3" fontId="3" fillId="0" borderId="14" xfId="0" applyNumberFormat="1" applyFont="1" applyFill="1" applyBorder="1"/>
    <xf numFmtId="3" fontId="3" fillId="0" borderId="14" xfId="0" applyNumberFormat="1" applyFont="1" applyBorder="1"/>
    <xf numFmtId="3" fontId="12" fillId="0" borderId="14" xfId="0" applyNumberFormat="1" applyFont="1" applyFill="1" applyBorder="1"/>
    <xf numFmtId="3" fontId="3" fillId="0" borderId="46" xfId="0" applyNumberFormat="1" applyFont="1" applyFill="1" applyBorder="1"/>
    <xf numFmtId="169" fontId="10" fillId="0" borderId="9" xfId="0" applyNumberFormat="1" applyFont="1" applyFill="1" applyBorder="1" applyAlignment="1">
      <alignment vertical="center" wrapText="1"/>
    </xf>
    <xf numFmtId="3" fontId="10" fillId="0" borderId="9" xfId="0" applyNumberFormat="1" applyFont="1" applyFill="1" applyBorder="1"/>
    <xf numFmtId="3" fontId="0" fillId="0" borderId="11" xfId="0" applyNumberFormat="1" applyFill="1" applyBorder="1"/>
    <xf numFmtId="0" fontId="5" fillId="3" borderId="2" xfId="1" applyFont="1" applyBorder="1" applyAlignment="1">
      <alignment horizontal="center"/>
    </xf>
    <xf numFmtId="0" fontId="5" fillId="3" borderId="23" xfId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4" borderId="2" xfId="2" applyFont="1" applyBorder="1" applyAlignment="1">
      <alignment horizontal="left"/>
    </xf>
    <xf numFmtId="0" fontId="6" fillId="4" borderId="3" xfId="2" applyFont="1" applyBorder="1" applyAlignment="1">
      <alignment horizontal="left"/>
    </xf>
    <xf numFmtId="0" fontId="6" fillId="4" borderId="4" xfId="2" applyFont="1" applyBorder="1" applyAlignment="1">
      <alignment horizontal="left"/>
    </xf>
    <xf numFmtId="0" fontId="0" fillId="8" borderId="24" xfId="0" applyFill="1" applyBorder="1" applyAlignment="1">
      <alignment horizontal="center" vertical="top" wrapText="1"/>
    </xf>
    <xf numFmtId="0" fontId="0" fillId="8" borderId="25" xfId="0" applyFill="1" applyBorder="1" applyAlignment="1">
      <alignment horizontal="center" vertical="top" wrapText="1"/>
    </xf>
    <xf numFmtId="0" fontId="0" fillId="8" borderId="26" xfId="0" applyFill="1" applyBorder="1" applyAlignment="1">
      <alignment horizontal="center" vertical="top" wrapText="1"/>
    </xf>
    <xf numFmtId="0" fontId="0" fillId="8" borderId="32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8" borderId="34" xfId="0" applyFill="1" applyBorder="1" applyAlignment="1">
      <alignment horizontal="center" vertical="top" wrapText="1"/>
    </xf>
    <xf numFmtId="0" fontId="3" fillId="0" borderId="24" xfId="0" applyFont="1" applyBorder="1" applyAlignment="1">
      <alignment vertical="center" textRotation="90"/>
    </xf>
    <xf numFmtId="0" fontId="3" fillId="0" borderId="25" xfId="0" applyFont="1" applyBorder="1" applyAlignment="1">
      <alignment vertical="center" textRotation="90"/>
    </xf>
    <xf numFmtId="0" fontId="3" fillId="0" borderId="26" xfId="0" applyFont="1" applyBorder="1" applyAlignment="1">
      <alignment vertical="center" textRotation="90"/>
    </xf>
    <xf numFmtId="0" fontId="5" fillId="3" borderId="42" xfId="1" applyFont="1" applyBorder="1" applyAlignment="1">
      <alignment horizontal="center"/>
    </xf>
    <xf numFmtId="0" fontId="5" fillId="3" borderId="41" xfId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1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0" fillId="8" borderId="43" xfId="0" applyFill="1" applyBorder="1" applyAlignment="1">
      <alignment horizontal="center" vertical="top" wrapText="1"/>
    </xf>
    <xf numFmtId="0" fontId="0" fillId="8" borderId="44" xfId="0" applyFill="1" applyBorder="1" applyAlignment="1">
      <alignment horizontal="center" vertical="top" wrapText="1"/>
    </xf>
    <xf numFmtId="0" fontId="3" fillId="0" borderId="14" xfId="0" applyFont="1" applyBorder="1" applyAlignment="1">
      <alignment vertical="center" textRotation="90"/>
    </xf>
    <xf numFmtId="0" fontId="3" fillId="0" borderId="1" xfId="0" applyFont="1" applyBorder="1" applyAlignment="1">
      <alignment vertical="center" textRotation="90"/>
    </xf>
    <xf numFmtId="0" fontId="3" fillId="0" borderId="7" xfId="0" applyFont="1" applyBorder="1" applyAlignment="1">
      <alignment vertical="center" textRotation="90"/>
    </xf>
  </cellXfs>
  <cellStyles count="9">
    <cellStyle name="20% - Accent5 2" xfId="2" xr:uid="{00000000-0005-0000-0000-000000000000}"/>
    <cellStyle name="Accent1 2" xfId="1" xr:uid="{00000000-0005-0000-0000-000001000000}"/>
    <cellStyle name="Comma" xfId="6" builtinId="3"/>
    <cellStyle name="Normal" xfId="0" builtinId="0"/>
    <cellStyle name="Normal 2" xfId="3" xr:uid="{00000000-0005-0000-0000-000003000000}"/>
    <cellStyle name="Normal 3" xfId="5" xr:uid="{00000000-0005-0000-0000-000004000000}"/>
    <cellStyle name="Percent 2" xfId="8" xr:uid="{00000000-0005-0000-0000-000005000000}"/>
    <cellStyle name="Percent 3" xfId="4" xr:uid="{00000000-0005-0000-0000-000006000000}"/>
    <cellStyle name="Virgulă 2" xfId="7" xr:uid="{00000000-0005-0000-0000-000008000000}"/>
  </cellStyles>
  <dxfs count="0"/>
  <tableStyles count="0" defaultTableStyle="TableStyleMedium2" defaultPivotStyle="PivotStyleLight16"/>
  <colors>
    <mruColors>
      <color rgb="FF00FF00"/>
      <color rgb="FFA6E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Prognoza%20MP/Balanta%20Apa/BA%202019%20SFANTU%20GHEORGH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%20Pop.Rezidenta_COVASNA-2020-206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_2019_2023_varianta_de_iarna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ys. Input"/>
      <sheetName val="Billed Cons"/>
      <sheetName val="Unb. Cons."/>
      <sheetName val="Unauth. Cons."/>
      <sheetName val="Meter Errors"/>
      <sheetName val="Network"/>
      <sheetName val="Pressure"/>
      <sheetName val="Intermittent Supply"/>
      <sheetName val="Financial Data"/>
      <sheetName val="Water Balance m3day"/>
      <sheetName val="Water Balance m3"/>
      <sheetName val="Water Balance m3year"/>
      <sheetName val="PIs"/>
      <sheetName val="WHAT IF"/>
      <sheetName val="Historic Data"/>
      <sheetName val="Getting Started"/>
      <sheetName val="Language 1"/>
      <sheetName val="Language 2"/>
      <sheetName val="Language 3"/>
      <sheetName val="Used Language"/>
      <sheetName val="Matrix"/>
      <sheetName val="Matrix (2)"/>
    </sheetNames>
    <sheetDataSet>
      <sheetData sheetId="0">
        <row r="17">
          <cell r="H17" t="str">
            <v>Sfantu Gheorghe</v>
          </cell>
        </row>
      </sheetData>
      <sheetData sheetId="1"/>
      <sheetData sheetId="2">
        <row r="8">
          <cell r="D8">
            <v>1942332</v>
          </cell>
        </row>
        <row r="9">
          <cell r="D9">
            <v>930638</v>
          </cell>
        </row>
        <row r="10">
          <cell r="D10">
            <v>26684</v>
          </cell>
        </row>
      </sheetData>
      <sheetData sheetId="3"/>
      <sheetData sheetId="4"/>
      <sheetData sheetId="5"/>
      <sheetData sheetId="6">
        <row r="28">
          <cell r="D28">
            <v>124.00698384984723</v>
          </cell>
        </row>
        <row r="30">
          <cell r="H30">
            <v>5682</v>
          </cell>
        </row>
      </sheetData>
      <sheetData sheetId="7">
        <row r="33">
          <cell r="F33">
            <v>35</v>
          </cell>
        </row>
      </sheetData>
      <sheetData sheetId="8"/>
      <sheetData sheetId="9"/>
      <sheetData sheetId="10"/>
      <sheetData sheetId="11">
        <row r="16">
          <cell r="T16">
            <v>121267</v>
          </cell>
        </row>
      </sheetData>
      <sheetData sheetId="12">
        <row r="4">
          <cell r="AC4">
            <v>2899654</v>
          </cell>
        </row>
        <row r="8">
          <cell r="T8">
            <v>2899654</v>
          </cell>
          <cell r="AY8">
            <v>2899654</v>
          </cell>
        </row>
        <row r="9">
          <cell r="AC9">
            <v>0</v>
          </cell>
        </row>
        <row r="14">
          <cell r="AC14">
            <v>0</v>
          </cell>
        </row>
        <row r="16">
          <cell r="T16">
            <v>121267</v>
          </cell>
        </row>
        <row r="19">
          <cell r="AC19">
            <v>121267</v>
          </cell>
        </row>
        <row r="24">
          <cell r="AC24">
            <v>0</v>
          </cell>
          <cell r="AY24">
            <v>1263804</v>
          </cell>
        </row>
        <row r="26">
          <cell r="T26">
            <v>152613.36842105258</v>
          </cell>
        </row>
        <row r="29">
          <cell r="AC29">
            <v>152613.36842105258</v>
          </cell>
        </row>
        <row r="34">
          <cell r="T34">
            <v>989923.63157894742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ASNA_POP FORECAST_2020-2060"/>
      <sheetName val="TEMPO_POP105A_21_10_2019"/>
      <sheetName val="Prognoza Pop"/>
      <sheetName val="Populatie OK"/>
    </sheetNames>
    <sheetDataSet>
      <sheetData sheetId="0">
        <row r="8">
          <cell r="K8">
            <v>53307.672019918456</v>
          </cell>
          <cell r="L8">
            <v>52846.006269157129</v>
          </cell>
          <cell r="M8">
            <v>52379.203410888033</v>
          </cell>
          <cell r="N8">
            <v>52024.90311506881</v>
          </cell>
          <cell r="O8">
            <v>51672.999356261294</v>
          </cell>
          <cell r="P8">
            <v>51323.475923952203</v>
          </cell>
          <cell r="Q8">
            <v>50976.31671727846</v>
          </cell>
          <cell r="R8">
            <v>50631.505744285474</v>
          </cell>
          <cell r="S8">
            <v>50289.027121190491</v>
          </cell>
          <cell r="T8">
            <v>49948.865071650907</v>
          </cell>
          <cell r="U8">
            <v>49611.003926037512</v>
          </cell>
          <cell r="V8">
            <v>49275.428120712655</v>
          </cell>
          <cell r="W8">
            <v>48942.122197313336</v>
          </cell>
          <cell r="X8">
            <v>48664.858532577018</v>
          </cell>
          <cell r="Y8">
            <v>48389.165603565503</v>
          </cell>
          <cell r="Z8">
            <v>48115.034511850943</v>
          </cell>
          <cell r="AA8">
            <v>47842.456409416256</v>
          </cell>
          <cell r="AB8">
            <v>47571.422498369582</v>
          </cell>
          <cell r="AC8">
            <v>47301.924030660273</v>
          </cell>
          <cell r="AD8">
            <v>47033.952307796571</v>
          </cell>
          <cell r="AE8">
            <v>46767.49868056483</v>
          </cell>
          <cell r="AF8">
            <v>46502.554548750377</v>
          </cell>
          <cell r="AG8">
            <v>46239.111360859875</v>
          </cell>
          <cell r="AH8">
            <v>46091.959886402306</v>
          </cell>
          <cell r="AI8">
            <v>45945.276707199504</v>
          </cell>
          <cell r="AJ8">
            <v>45799.060332947374</v>
          </cell>
          <cell r="AK8">
            <v>45653.309278084555</v>
          </cell>
          <cell r="AL8">
            <v>45508.022061777367</v>
          </cell>
          <cell r="AM8">
            <v>45363.197207904705</v>
          </cell>
          <cell r="AN8">
            <v>45218.833245043097</v>
          </cell>
          <cell r="AO8">
            <v>45074.928706451734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a"/>
      <sheetName val="pag 1"/>
      <sheetName val="pag 2"/>
      <sheetName val="Sheet1"/>
    </sheetNames>
    <sheetDataSet>
      <sheetData sheetId="0"/>
      <sheetData sheetId="1">
        <row r="7">
          <cell r="C7">
            <v>4.0999999999999996</v>
          </cell>
          <cell r="D7">
            <v>4.0999999999999996</v>
          </cell>
          <cell r="E7">
            <v>4.2</v>
          </cell>
          <cell r="F7">
            <v>4.2</v>
          </cell>
          <cell r="G7">
            <v>4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AI31"/>
  <sheetViews>
    <sheetView topLeftCell="A10" zoomScale="80" zoomScaleNormal="80" workbookViewId="0">
      <selection activeCell="H4" sqref="H4"/>
    </sheetView>
  </sheetViews>
  <sheetFormatPr defaultRowHeight="15" outlineLevelCol="1" x14ac:dyDescent="0.25"/>
  <cols>
    <col min="1" max="1" width="15.28515625" customWidth="1"/>
    <col min="2" max="2" width="27.5703125" customWidth="1"/>
    <col min="3" max="3" width="15.140625" style="67" customWidth="1"/>
    <col min="4" max="4" width="11.140625" customWidth="1"/>
    <col min="5" max="5" width="11.5703125" customWidth="1" outlineLevel="1"/>
    <col min="6" max="6" width="10.5703125" customWidth="1" outlineLevel="1"/>
    <col min="7" max="9" width="12.5703125" customWidth="1" outlineLevel="1"/>
    <col min="10" max="10" width="12.5703125" customWidth="1"/>
    <col min="11" max="11" width="12.5703125" customWidth="1" outlineLevel="1"/>
    <col min="12" max="13" width="10.140625" customWidth="1" outlineLevel="1"/>
    <col min="14" max="14" width="12.5703125" customWidth="1" outlineLevel="1"/>
    <col min="15" max="21" width="10.140625" customWidth="1" outlineLevel="1"/>
    <col min="22" max="22" width="10.5703125" customWidth="1" outlineLevel="1"/>
    <col min="23" max="23" width="12.5703125" customWidth="1" outlineLevel="1"/>
    <col min="24" max="33" width="10.140625" customWidth="1" outlineLevel="1"/>
    <col min="34" max="34" width="10.140625" customWidth="1"/>
  </cols>
  <sheetData>
    <row r="2" spans="1:34" x14ac:dyDescent="0.25">
      <c r="B2" s="202" t="s">
        <v>33</v>
      </c>
      <c r="C2" s="202"/>
      <c r="D2" s="63">
        <v>2024</v>
      </c>
      <c r="E2" s="64">
        <v>2048</v>
      </c>
    </row>
    <row r="4" spans="1:34" x14ac:dyDescent="0.25">
      <c r="B4" s="59" t="s">
        <v>32</v>
      </c>
      <c r="C4" s="61" t="s">
        <v>30</v>
      </c>
      <c r="D4" s="60">
        <v>100</v>
      </c>
      <c r="E4" s="60">
        <v>110</v>
      </c>
    </row>
    <row r="5" spans="1:34" x14ac:dyDescent="0.25">
      <c r="B5" s="59" t="s">
        <v>32</v>
      </c>
      <c r="C5" s="61" t="s">
        <v>31</v>
      </c>
      <c r="D5" s="60">
        <v>80</v>
      </c>
      <c r="E5" s="60">
        <v>90</v>
      </c>
    </row>
    <row r="6" spans="1:34" ht="15.75" thickBot="1" x14ac:dyDescent="0.3"/>
    <row r="7" spans="1:34" x14ac:dyDescent="0.25">
      <c r="A7" s="206"/>
      <c r="B7" s="200" t="str">
        <f>[1]Start!$H$17</f>
        <v>Sfantu Gheorghe</v>
      </c>
      <c r="C7" s="201"/>
      <c r="D7" s="16">
        <v>2018</v>
      </c>
      <c r="E7" s="16">
        <v>2019</v>
      </c>
      <c r="F7" s="16">
        <v>2020</v>
      </c>
      <c r="G7" s="16">
        <v>2021</v>
      </c>
      <c r="H7" s="16">
        <v>2022</v>
      </c>
      <c r="I7" s="16">
        <v>2023</v>
      </c>
      <c r="J7" s="16">
        <v>2024</v>
      </c>
      <c r="K7" s="16">
        <v>2025</v>
      </c>
      <c r="L7" s="16">
        <v>2026</v>
      </c>
      <c r="M7" s="16">
        <v>2027</v>
      </c>
      <c r="N7" s="16">
        <v>2028</v>
      </c>
      <c r="O7" s="16">
        <v>2029</v>
      </c>
      <c r="P7" s="16">
        <v>2030</v>
      </c>
      <c r="Q7" s="16">
        <v>2031</v>
      </c>
      <c r="R7" s="16">
        <v>2032</v>
      </c>
      <c r="S7" s="16">
        <v>2033</v>
      </c>
      <c r="T7" s="16">
        <v>2034</v>
      </c>
      <c r="U7" s="16">
        <v>2035</v>
      </c>
      <c r="V7" s="16">
        <v>2036</v>
      </c>
      <c r="W7" s="16">
        <v>2037</v>
      </c>
      <c r="X7" s="16">
        <v>2038</v>
      </c>
      <c r="Y7" s="16">
        <v>2039</v>
      </c>
      <c r="Z7" s="16">
        <v>2040</v>
      </c>
      <c r="AA7" s="16">
        <v>2041</v>
      </c>
      <c r="AB7" s="16">
        <v>2042</v>
      </c>
      <c r="AC7" s="16">
        <v>2043</v>
      </c>
      <c r="AD7" s="16">
        <v>2044</v>
      </c>
      <c r="AE7" s="16">
        <v>2045</v>
      </c>
      <c r="AF7" s="16">
        <v>2046</v>
      </c>
      <c r="AG7" s="16">
        <v>2047</v>
      </c>
      <c r="AH7" s="95">
        <v>2048</v>
      </c>
    </row>
    <row r="8" spans="1:34" x14ac:dyDescent="0.25">
      <c r="A8" s="207"/>
      <c r="B8" s="10" t="s">
        <v>9</v>
      </c>
      <c r="C8" s="26" t="s">
        <v>10</v>
      </c>
      <c r="D8" s="18">
        <f>'[2]COVASNA_POP FORECAST_2020-2060'!K8</f>
        <v>53307.672019918456</v>
      </c>
      <c r="E8" s="23">
        <f>'[2]COVASNA_POP FORECAST_2020-2060'!L8</f>
        <v>52846.006269157129</v>
      </c>
      <c r="F8" s="23">
        <f>'[2]COVASNA_POP FORECAST_2020-2060'!M8</f>
        <v>52379.203410888033</v>
      </c>
      <c r="G8" s="23">
        <f>'[2]COVASNA_POP FORECAST_2020-2060'!N8</f>
        <v>52024.90311506881</v>
      </c>
      <c r="H8" s="23">
        <f>'[2]COVASNA_POP FORECAST_2020-2060'!O8</f>
        <v>51672.999356261294</v>
      </c>
      <c r="I8" s="23">
        <f>'[2]COVASNA_POP FORECAST_2020-2060'!P8</f>
        <v>51323.475923952203</v>
      </c>
      <c r="J8" s="85">
        <f>'[2]COVASNA_POP FORECAST_2020-2060'!Q8</f>
        <v>50976.31671727846</v>
      </c>
      <c r="K8" s="23">
        <f>'[2]COVASNA_POP FORECAST_2020-2060'!R8</f>
        <v>50631.505744285474</v>
      </c>
      <c r="L8" s="23">
        <f>'[2]COVASNA_POP FORECAST_2020-2060'!S8</f>
        <v>50289.027121190491</v>
      </c>
      <c r="M8" s="23">
        <f>'[2]COVASNA_POP FORECAST_2020-2060'!T8</f>
        <v>49948.865071650907</v>
      </c>
      <c r="N8" s="23">
        <f>'[2]COVASNA_POP FORECAST_2020-2060'!U8</f>
        <v>49611.003926037512</v>
      </c>
      <c r="O8" s="23">
        <f>'[2]COVASNA_POP FORECAST_2020-2060'!V8</f>
        <v>49275.428120712655</v>
      </c>
      <c r="P8" s="23">
        <f>'[2]COVASNA_POP FORECAST_2020-2060'!W8</f>
        <v>48942.122197313336</v>
      </c>
      <c r="Q8" s="23">
        <f>'[2]COVASNA_POP FORECAST_2020-2060'!X8</f>
        <v>48664.858532577018</v>
      </c>
      <c r="R8" s="23">
        <f>'[2]COVASNA_POP FORECAST_2020-2060'!Y8</f>
        <v>48389.165603565503</v>
      </c>
      <c r="S8" s="23">
        <f>'[2]COVASNA_POP FORECAST_2020-2060'!Z8</f>
        <v>48115.034511850943</v>
      </c>
      <c r="T8" s="23">
        <f>'[2]COVASNA_POP FORECAST_2020-2060'!AA8</f>
        <v>47842.456409416256</v>
      </c>
      <c r="U8" s="23">
        <f>'[2]COVASNA_POP FORECAST_2020-2060'!AB8</f>
        <v>47571.422498369582</v>
      </c>
      <c r="V8" s="23">
        <f>'[2]COVASNA_POP FORECAST_2020-2060'!AC8</f>
        <v>47301.924030660273</v>
      </c>
      <c r="W8" s="23">
        <f>'[2]COVASNA_POP FORECAST_2020-2060'!AD8</f>
        <v>47033.952307796571</v>
      </c>
      <c r="X8" s="23">
        <f>'[2]COVASNA_POP FORECAST_2020-2060'!AE8</f>
        <v>46767.49868056483</v>
      </c>
      <c r="Y8" s="23">
        <f>'[2]COVASNA_POP FORECAST_2020-2060'!AF8</f>
        <v>46502.554548750377</v>
      </c>
      <c r="Z8" s="23">
        <f>'[2]COVASNA_POP FORECAST_2020-2060'!AG8</f>
        <v>46239.111360859875</v>
      </c>
      <c r="AA8" s="23">
        <f>'[2]COVASNA_POP FORECAST_2020-2060'!AH8</f>
        <v>46091.959886402306</v>
      </c>
      <c r="AB8" s="23">
        <f>'[2]COVASNA_POP FORECAST_2020-2060'!AI8</f>
        <v>45945.276707199504</v>
      </c>
      <c r="AC8" s="23">
        <f>'[2]COVASNA_POP FORECAST_2020-2060'!AJ8</f>
        <v>45799.060332947374</v>
      </c>
      <c r="AD8" s="23">
        <f>'[2]COVASNA_POP FORECAST_2020-2060'!AK8</f>
        <v>45653.309278084555</v>
      </c>
      <c r="AE8" s="23">
        <f>'[2]COVASNA_POP FORECAST_2020-2060'!AL8</f>
        <v>45508.022061777367</v>
      </c>
      <c r="AF8" s="23">
        <f>'[2]COVASNA_POP FORECAST_2020-2060'!AM8</f>
        <v>45363.197207904705</v>
      </c>
      <c r="AG8" s="23">
        <f>'[2]COVASNA_POP FORECAST_2020-2060'!AN8</f>
        <v>45218.833245043097</v>
      </c>
      <c r="AH8" s="126">
        <f>'[2]COVASNA_POP FORECAST_2020-2060'!AO8</f>
        <v>45074.928706451734</v>
      </c>
    </row>
    <row r="9" spans="1:34" ht="15.75" thickBot="1" x14ac:dyDescent="0.3">
      <c r="A9" s="207"/>
      <c r="B9" s="9" t="s">
        <v>11</v>
      </c>
      <c r="C9" s="25" t="s">
        <v>2</v>
      </c>
      <c r="D9" s="19">
        <v>0.94</v>
      </c>
      <c r="E9" s="14">
        <f>D9</f>
        <v>0.94</v>
      </c>
      <c r="F9" s="14">
        <f t="shared" ref="F9:I9" si="0">E9</f>
        <v>0.94</v>
      </c>
      <c r="G9" s="14">
        <f t="shared" si="0"/>
        <v>0.94</v>
      </c>
      <c r="H9" s="14">
        <f t="shared" si="0"/>
        <v>0.94</v>
      </c>
      <c r="I9" s="14">
        <f t="shared" si="0"/>
        <v>0.94</v>
      </c>
      <c r="J9" s="14">
        <v>0.99165999999999999</v>
      </c>
      <c r="K9" s="14">
        <f>J9</f>
        <v>0.99165999999999999</v>
      </c>
      <c r="L9" s="14">
        <f>K9</f>
        <v>0.99165999999999999</v>
      </c>
      <c r="M9" s="14">
        <f t="shared" ref="M9:AH9" si="1">L9</f>
        <v>0.99165999999999999</v>
      </c>
      <c r="N9" s="14">
        <f t="shared" si="1"/>
        <v>0.99165999999999999</v>
      </c>
      <c r="O9" s="14">
        <f t="shared" si="1"/>
        <v>0.99165999999999999</v>
      </c>
      <c r="P9" s="14">
        <f t="shared" si="1"/>
        <v>0.99165999999999999</v>
      </c>
      <c r="Q9" s="14">
        <f t="shared" si="1"/>
        <v>0.99165999999999999</v>
      </c>
      <c r="R9" s="14">
        <f t="shared" si="1"/>
        <v>0.99165999999999999</v>
      </c>
      <c r="S9" s="14">
        <f t="shared" si="1"/>
        <v>0.99165999999999999</v>
      </c>
      <c r="T9" s="14">
        <f t="shared" si="1"/>
        <v>0.99165999999999999</v>
      </c>
      <c r="U9" s="14">
        <f t="shared" si="1"/>
        <v>0.99165999999999999</v>
      </c>
      <c r="V9" s="14">
        <f t="shared" si="1"/>
        <v>0.99165999999999999</v>
      </c>
      <c r="W9" s="14">
        <f t="shared" si="1"/>
        <v>0.99165999999999999</v>
      </c>
      <c r="X9" s="15">
        <f t="shared" si="1"/>
        <v>0.99165999999999999</v>
      </c>
      <c r="Y9" s="15">
        <f t="shared" si="1"/>
        <v>0.99165999999999999</v>
      </c>
      <c r="Z9" s="15">
        <f t="shared" si="1"/>
        <v>0.99165999999999999</v>
      </c>
      <c r="AA9" s="15">
        <f t="shared" si="1"/>
        <v>0.99165999999999999</v>
      </c>
      <c r="AB9" s="15">
        <f t="shared" si="1"/>
        <v>0.99165999999999999</v>
      </c>
      <c r="AC9" s="15">
        <f t="shared" si="1"/>
        <v>0.99165999999999999</v>
      </c>
      <c r="AD9" s="15">
        <f t="shared" si="1"/>
        <v>0.99165999999999999</v>
      </c>
      <c r="AE9" s="15">
        <f t="shared" si="1"/>
        <v>0.99165999999999999</v>
      </c>
      <c r="AF9" s="15">
        <f t="shared" si="1"/>
        <v>0.99165999999999999</v>
      </c>
      <c r="AG9" s="15">
        <f t="shared" si="1"/>
        <v>0.99165999999999999</v>
      </c>
      <c r="AH9" s="130">
        <f t="shared" si="1"/>
        <v>0.99165999999999999</v>
      </c>
    </row>
    <row r="10" spans="1:34" x14ac:dyDescent="0.25">
      <c r="A10" s="207"/>
      <c r="B10" s="56" t="s">
        <v>28</v>
      </c>
      <c r="C10" s="62" t="s">
        <v>59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x14ac:dyDescent="0.25">
      <c r="A11" s="207"/>
      <c r="B11" s="10" t="s">
        <v>12</v>
      </c>
      <c r="C11" s="26" t="s">
        <v>10</v>
      </c>
      <c r="D11" s="18">
        <f t="shared" ref="D11:AH11" si="2">D9*D8</f>
        <v>50109.211698723346</v>
      </c>
      <c r="E11" s="51">
        <f t="shared" si="2"/>
        <v>49675.245893007697</v>
      </c>
      <c r="F11" s="51">
        <f t="shared" si="2"/>
        <v>49236.451206234749</v>
      </c>
      <c r="G11" s="2">
        <f t="shared" si="2"/>
        <v>48903.408928164681</v>
      </c>
      <c r="H11" s="2">
        <f t="shared" si="2"/>
        <v>48572.619394885616</v>
      </c>
      <c r="I11" s="2">
        <f t="shared" si="2"/>
        <v>48244.067368515069</v>
      </c>
      <c r="J11" s="2">
        <f t="shared" si="2"/>
        <v>50551.174235856357</v>
      </c>
      <c r="K11" s="48">
        <f t="shared" si="2"/>
        <v>50209.238986378135</v>
      </c>
      <c r="L11" s="2">
        <f t="shared" si="2"/>
        <v>49869.616634999758</v>
      </c>
      <c r="M11" s="48">
        <f t="shared" si="2"/>
        <v>49532.291536953337</v>
      </c>
      <c r="N11" s="2">
        <f t="shared" si="2"/>
        <v>49197.248153294357</v>
      </c>
      <c r="O11" s="2">
        <f t="shared" si="2"/>
        <v>48864.471050185908</v>
      </c>
      <c r="P11" s="2">
        <f t="shared" si="2"/>
        <v>48533.944898187743</v>
      </c>
      <c r="Q11" s="2">
        <f t="shared" si="2"/>
        <v>48258.993612415325</v>
      </c>
      <c r="R11" s="2">
        <f t="shared" si="2"/>
        <v>47985.599962431763</v>
      </c>
      <c r="S11" s="2">
        <f t="shared" si="2"/>
        <v>47713.755124022107</v>
      </c>
      <c r="T11" s="2">
        <f t="shared" si="2"/>
        <v>47443.450322961726</v>
      </c>
      <c r="U11" s="2">
        <f t="shared" si="2"/>
        <v>47174.676834733182</v>
      </c>
      <c r="V11" s="2">
        <f t="shared" si="2"/>
        <v>46907.425984244568</v>
      </c>
      <c r="W11" s="2">
        <f t="shared" si="2"/>
        <v>46641.68914554955</v>
      </c>
      <c r="X11" s="2">
        <f t="shared" si="2"/>
        <v>46377.45774156892</v>
      </c>
      <c r="Y11" s="2">
        <f t="shared" si="2"/>
        <v>46114.723243813802</v>
      </c>
      <c r="Z11" s="2">
        <f t="shared" si="2"/>
        <v>45853.477172110302</v>
      </c>
      <c r="AA11" s="2">
        <f t="shared" si="2"/>
        <v>45707.55294094971</v>
      </c>
      <c r="AB11" s="2">
        <f t="shared" si="2"/>
        <v>45562.093099461461</v>
      </c>
      <c r="AC11" s="2">
        <f t="shared" si="2"/>
        <v>45417.096169770593</v>
      </c>
      <c r="AD11" s="2">
        <f t="shared" si="2"/>
        <v>45272.560678705326</v>
      </c>
      <c r="AE11" s="2">
        <f t="shared" si="2"/>
        <v>45128.485157782139</v>
      </c>
      <c r="AF11" s="2">
        <f t="shared" si="2"/>
        <v>44984.868143190775</v>
      </c>
      <c r="AG11" s="2">
        <f t="shared" si="2"/>
        <v>44841.708175779437</v>
      </c>
      <c r="AH11" s="126">
        <f t="shared" si="2"/>
        <v>44699.003801039929</v>
      </c>
    </row>
    <row r="12" spans="1:34" x14ac:dyDescent="0.25">
      <c r="A12" s="207"/>
      <c r="B12" s="10" t="s">
        <v>8</v>
      </c>
      <c r="C12" s="26" t="s">
        <v>13</v>
      </c>
      <c r="D12" s="66">
        <f>D13/D11*1000/365</f>
        <v>106.19719117198071</v>
      </c>
      <c r="E12" s="68">
        <f>D12+($J$12-$D$12)/6</f>
        <v>106.83099264331726</v>
      </c>
      <c r="F12" s="68">
        <f t="shared" ref="F12:I12" si="3">E12+($J$12-$D$12)/6</f>
        <v>107.46479411465381</v>
      </c>
      <c r="G12" s="68">
        <f t="shared" si="3"/>
        <v>108.09859558599037</v>
      </c>
      <c r="H12" s="68">
        <f t="shared" si="3"/>
        <v>108.73239705732692</v>
      </c>
      <c r="I12" s="68">
        <f t="shared" si="3"/>
        <v>109.36619852866347</v>
      </c>
      <c r="J12" s="84">
        <v>110</v>
      </c>
      <c r="K12" s="68">
        <f>(($Q$12-$J$12)/7)+J12</f>
        <v>109.28571428571429</v>
      </c>
      <c r="L12" s="68">
        <f t="shared" ref="L12:P12" si="4">(($Q$12-$J$12)/7)+K12</f>
        <v>108.57142857142858</v>
      </c>
      <c r="M12" s="68">
        <f t="shared" si="4"/>
        <v>107.85714285714288</v>
      </c>
      <c r="N12" s="68">
        <f t="shared" si="4"/>
        <v>107.14285714285717</v>
      </c>
      <c r="O12" s="68">
        <f t="shared" si="4"/>
        <v>106.42857142857146</v>
      </c>
      <c r="P12" s="68">
        <f t="shared" si="4"/>
        <v>105.71428571428575</v>
      </c>
      <c r="Q12" s="68">
        <v>105</v>
      </c>
      <c r="R12" s="68">
        <f>(($AH$12-$Q$12)/16)+Q12</f>
        <v>105.3125</v>
      </c>
      <c r="S12" s="68">
        <f t="shared" ref="S12:AG12" si="5">(($AH$12-$Q$12)/16)+R12</f>
        <v>105.625</v>
      </c>
      <c r="T12" s="68">
        <f t="shared" si="5"/>
        <v>105.9375</v>
      </c>
      <c r="U12" s="68">
        <f t="shared" si="5"/>
        <v>106.25</v>
      </c>
      <c r="V12" s="68">
        <f t="shared" si="5"/>
        <v>106.5625</v>
      </c>
      <c r="W12" s="68">
        <f t="shared" si="5"/>
        <v>106.875</v>
      </c>
      <c r="X12" s="68">
        <f t="shared" si="5"/>
        <v>107.1875</v>
      </c>
      <c r="Y12" s="68">
        <f t="shared" si="5"/>
        <v>107.5</v>
      </c>
      <c r="Z12" s="68">
        <f t="shared" si="5"/>
        <v>107.8125</v>
      </c>
      <c r="AA12" s="68">
        <f t="shared" si="5"/>
        <v>108.125</v>
      </c>
      <c r="AB12" s="68">
        <f t="shared" si="5"/>
        <v>108.4375</v>
      </c>
      <c r="AC12" s="68">
        <f t="shared" si="5"/>
        <v>108.75</v>
      </c>
      <c r="AD12" s="68">
        <f t="shared" si="5"/>
        <v>109.0625</v>
      </c>
      <c r="AE12" s="68">
        <f t="shared" si="5"/>
        <v>109.375</v>
      </c>
      <c r="AF12" s="68">
        <f t="shared" si="5"/>
        <v>109.6875</v>
      </c>
      <c r="AG12" s="68">
        <f t="shared" si="5"/>
        <v>110</v>
      </c>
      <c r="AH12" s="197">
        <f>IF(C10="urban", $E$4,$E$5)</f>
        <v>110</v>
      </c>
    </row>
    <row r="13" spans="1:34" x14ac:dyDescent="0.25">
      <c r="A13" s="207"/>
      <c r="B13" s="10" t="s">
        <v>14</v>
      </c>
      <c r="C13" s="26" t="s">
        <v>17</v>
      </c>
      <c r="D13" s="18">
        <f>'[1]Billed Cons'!$D$8+'[1]Billed Cons'!$H$8</f>
        <v>1942332</v>
      </c>
      <c r="E13" s="2">
        <f t="shared" ref="E13:AH13" si="6">E12*E11*365/1000</f>
        <v>1937002.3774210715</v>
      </c>
      <c r="F13" s="2">
        <f t="shared" si="6"/>
        <v>1931282.5585121887</v>
      </c>
      <c r="G13" s="2">
        <f t="shared" si="6"/>
        <v>1929532.2859432243</v>
      </c>
      <c r="H13" s="2">
        <f t="shared" si="6"/>
        <v>1927717.3284280794</v>
      </c>
      <c r="I13" s="2">
        <f t="shared" si="6"/>
        <v>1925838.6411241605</v>
      </c>
      <c r="J13" s="2">
        <f>J12*J11*365/1000</f>
        <v>2029629.6455696328</v>
      </c>
      <c r="K13" s="48">
        <f t="shared" si="6"/>
        <v>2002810.6794244908</v>
      </c>
      <c r="L13" s="2">
        <f t="shared" si="6"/>
        <v>1976261.6649355618</v>
      </c>
      <c r="M13" s="2">
        <f t="shared" si="6"/>
        <v>1949980.177185131</v>
      </c>
      <c r="N13" s="2">
        <f t="shared" si="6"/>
        <v>1923963.8117091903</v>
      </c>
      <c r="O13" s="2">
        <f t="shared" si="6"/>
        <v>1898210.1843316865</v>
      </c>
      <c r="P13" s="2">
        <f t="shared" si="6"/>
        <v>1872716.9310000734</v>
      </c>
      <c r="Q13" s="2">
        <f t="shared" si="6"/>
        <v>1849525.9301958175</v>
      </c>
      <c r="R13" s="48">
        <f t="shared" si="6"/>
        <v>1844521.4760559122</v>
      </c>
      <c r="S13" s="2">
        <f t="shared" si="6"/>
        <v>1839514.3655158151</v>
      </c>
      <c r="T13" s="2">
        <f t="shared" si="6"/>
        <v>1834504.7892848966</v>
      </c>
      <c r="U13" s="2">
        <f t="shared" si="6"/>
        <v>1829492.9359969962</v>
      </c>
      <c r="V13" s="2">
        <f t="shared" si="6"/>
        <v>1824478.9922278125</v>
      </c>
      <c r="W13" s="2">
        <f t="shared" si="6"/>
        <v>1819463.142512172</v>
      </c>
      <c r="X13" s="2">
        <f t="shared" si="6"/>
        <v>1814445.5693611626</v>
      </c>
      <c r="Y13" s="2">
        <f t="shared" si="6"/>
        <v>1809426.4532791444</v>
      </c>
      <c r="Z13" s="2">
        <f t="shared" si="6"/>
        <v>1804405.9727806221</v>
      </c>
      <c r="AA13" s="2">
        <f t="shared" si="6"/>
        <v>1803877.1440351685</v>
      </c>
      <c r="AB13" s="2">
        <f t="shared" si="6"/>
        <v>1803333.406722591</v>
      </c>
      <c r="AC13" s="2">
        <f t="shared" si="6"/>
        <v>1802774.8610888314</v>
      </c>
      <c r="AD13" s="2">
        <f t="shared" si="6"/>
        <v>1802201.6068927743</v>
      </c>
      <c r="AE13" s="2">
        <f t="shared" si="6"/>
        <v>1801613.7434083337</v>
      </c>
      <c r="AF13" s="2">
        <f t="shared" si="6"/>
        <v>1801011.3694265271</v>
      </c>
      <c r="AG13" s="2">
        <f t="shared" si="6"/>
        <v>1800394.5832575446</v>
      </c>
      <c r="AH13" s="126">
        <f t="shared" si="6"/>
        <v>1794665.0026117533</v>
      </c>
    </row>
    <row r="14" spans="1:34" x14ac:dyDescent="0.25">
      <c r="A14" s="207"/>
      <c r="B14" s="10" t="s">
        <v>15</v>
      </c>
      <c r="C14" s="26" t="s">
        <v>17</v>
      </c>
      <c r="D14" s="18">
        <f>'[1]Billed Cons'!$D$9+'[1]Billed Cons'!$D$10+'[1]Billed Cons'!$H$9+'[1]Billed Cons'!$H$10</f>
        <v>957322</v>
      </c>
      <c r="E14" s="69">
        <f>D14*(1+0.25*'[3]pag 1'!C7/10)</f>
        <v>1055447.5050000001</v>
      </c>
      <c r="F14" s="69">
        <f>E14*(1+0.25*'[3]pag 1'!D7/10)</f>
        <v>1163630.8742625001</v>
      </c>
      <c r="G14" s="69">
        <f>F14*(1+0.25*'[3]pag 1'!E7/10)</f>
        <v>1285812.1160600625</v>
      </c>
      <c r="H14" s="69">
        <f>G14*(1+0.25*'[3]pag 1'!F7/10)</f>
        <v>1420822.3882463691</v>
      </c>
      <c r="I14" s="69">
        <f>H14*(1+0.25*'[3]pag 1'!G7/10)</f>
        <v>1562904.6270710062</v>
      </c>
      <c r="J14" s="86">
        <f>I14*(1+0.25*'[3]pag 1'!H7/10)</f>
        <v>1562904.6270710062</v>
      </c>
      <c r="K14" s="69">
        <f>J14*(1+0.25*'[3]pag 1'!I7/10)</f>
        <v>1562904.6270710062</v>
      </c>
      <c r="L14" s="69">
        <f>K14*(1+0.25*'[3]pag 1'!J7/10)</f>
        <v>1562904.6270710062</v>
      </c>
      <c r="M14" s="69">
        <f>L14*(1+0.25*'[3]pag 1'!K7/10)</f>
        <v>1562904.6270710062</v>
      </c>
      <c r="N14" s="69">
        <f>M14*(1+0.25*'[3]pag 1'!L7/10)</f>
        <v>1562904.6270710062</v>
      </c>
      <c r="O14" s="69">
        <f>N14*(1+0.25*'[3]pag 1'!M7/10)</f>
        <v>1562904.6270710062</v>
      </c>
      <c r="P14" s="69">
        <f>O14*(1+0.25*'[3]pag 1'!N7/10)</f>
        <v>1562904.6270710062</v>
      </c>
      <c r="Q14" s="69">
        <f>P14*(1+0.25*'[3]pag 1'!O7/10)</f>
        <v>1562904.6270710062</v>
      </c>
      <c r="R14" s="69">
        <f>Q14*(1+0.25*'[3]pag 1'!P7/10)</f>
        <v>1562904.6270710062</v>
      </c>
      <c r="S14" s="69">
        <f>R14*(1+0.25*'[3]pag 1'!Q7/10)</f>
        <v>1562904.6270710062</v>
      </c>
      <c r="T14" s="69">
        <f>S14*(1+0.25*'[3]pag 1'!R7/10)</f>
        <v>1562904.6270710062</v>
      </c>
      <c r="U14" s="69">
        <f>T14*(1+0.25*'[3]pag 1'!S7/10)</f>
        <v>1562904.6270710062</v>
      </c>
      <c r="V14" s="69">
        <f>U14*(1+0.25*'[3]pag 1'!T7/10)</f>
        <v>1562904.6270710062</v>
      </c>
      <c r="W14" s="69">
        <f>V14*(1+0.25*'[3]pag 1'!U7/10)</f>
        <v>1562904.6270710062</v>
      </c>
      <c r="X14" s="69">
        <f>W14*(1+0.25*'[3]pag 1'!V7/10)</f>
        <v>1562904.6270710062</v>
      </c>
      <c r="Y14" s="69">
        <f>X14*(1+0.25*'[3]pag 1'!W7/10)</f>
        <v>1562904.6270710062</v>
      </c>
      <c r="Z14" s="69">
        <f>Y14*(1+0.25*'[3]pag 1'!X7/10)</f>
        <v>1562904.6270710062</v>
      </c>
      <c r="AA14" s="69">
        <f>Z14*(1+0.25*'[3]pag 1'!Y7/10)</f>
        <v>1562904.6270710062</v>
      </c>
      <c r="AB14" s="69">
        <f>AA14*(1+0.25*'[3]pag 1'!Z7/10)</f>
        <v>1562904.6270710062</v>
      </c>
      <c r="AC14" s="69">
        <f>AB14*(1+0.25*'[3]pag 1'!AA7/10)</f>
        <v>1562904.6270710062</v>
      </c>
      <c r="AD14" s="69">
        <f>AC14*(1+0.25*'[3]pag 1'!AB7/10)</f>
        <v>1562904.6270710062</v>
      </c>
      <c r="AE14" s="69">
        <f>AD14*(1+0.25*'[3]pag 1'!AC7/10)</f>
        <v>1562904.6270710062</v>
      </c>
      <c r="AF14" s="69">
        <f>AE14*(1+0.25*'[3]pag 1'!AD7/10)</f>
        <v>1562904.6270710062</v>
      </c>
      <c r="AG14" s="69">
        <f>AF14*(1+0.25*'[3]pag 1'!AE7/10)</f>
        <v>1562904.6270710062</v>
      </c>
      <c r="AH14" s="120">
        <f>AG14*(1+0.25*'[3]pag 1'!AF7/10)</f>
        <v>1562904.6270710062</v>
      </c>
    </row>
    <row r="15" spans="1:34" ht="15.75" thickBot="1" x14ac:dyDescent="0.3">
      <c r="A15" s="207"/>
      <c r="B15" s="12" t="s">
        <v>16</v>
      </c>
      <c r="C15" s="27" t="s">
        <v>18</v>
      </c>
      <c r="D15" s="52">
        <f t="shared" ref="D15:AH15" si="7">D13+D14</f>
        <v>2899654</v>
      </c>
      <c r="E15" s="53">
        <f t="shared" si="7"/>
        <v>2992449.8824210716</v>
      </c>
      <c r="F15" s="53">
        <f t="shared" si="7"/>
        <v>3094913.432774689</v>
      </c>
      <c r="G15" s="53">
        <f t="shared" si="7"/>
        <v>3215344.4020032869</v>
      </c>
      <c r="H15" s="53">
        <f t="shared" si="7"/>
        <v>3348539.7166744485</v>
      </c>
      <c r="I15" s="53">
        <f t="shared" si="7"/>
        <v>3488743.2681951667</v>
      </c>
      <c r="J15" s="53">
        <f t="shared" si="7"/>
        <v>3592534.272640639</v>
      </c>
      <c r="K15" s="53">
        <f t="shared" si="7"/>
        <v>3565715.306495497</v>
      </c>
      <c r="L15" s="53">
        <f t="shared" si="7"/>
        <v>3539166.2920065681</v>
      </c>
      <c r="M15" s="53">
        <f t="shared" si="7"/>
        <v>3512884.8042561375</v>
      </c>
      <c r="N15" s="53">
        <f t="shared" si="7"/>
        <v>3486868.4387801965</v>
      </c>
      <c r="O15" s="53">
        <f t="shared" si="7"/>
        <v>3461114.8114026925</v>
      </c>
      <c r="P15" s="53">
        <f t="shared" si="7"/>
        <v>3435621.5580710797</v>
      </c>
      <c r="Q15" s="53">
        <f t="shared" si="7"/>
        <v>3412430.5572668239</v>
      </c>
      <c r="R15" s="53">
        <f t="shared" si="7"/>
        <v>3407426.1031269184</v>
      </c>
      <c r="S15" s="53">
        <f t="shared" si="7"/>
        <v>3402418.9925868213</v>
      </c>
      <c r="T15" s="53">
        <f t="shared" si="7"/>
        <v>3397409.4163559028</v>
      </c>
      <c r="U15" s="53">
        <f t="shared" si="7"/>
        <v>3392397.5630680025</v>
      </c>
      <c r="V15" s="53">
        <f t="shared" si="7"/>
        <v>3387383.6192988185</v>
      </c>
      <c r="W15" s="53">
        <f t="shared" si="7"/>
        <v>3382367.7695831782</v>
      </c>
      <c r="X15" s="53">
        <f t="shared" si="7"/>
        <v>3377350.1964321686</v>
      </c>
      <c r="Y15" s="53">
        <f t="shared" si="7"/>
        <v>3372331.0803501504</v>
      </c>
      <c r="Z15" s="53">
        <f t="shared" si="7"/>
        <v>3367310.5998516283</v>
      </c>
      <c r="AA15" s="53">
        <f t="shared" si="7"/>
        <v>3366781.7711061747</v>
      </c>
      <c r="AB15" s="53">
        <f t="shared" si="7"/>
        <v>3366238.0337935975</v>
      </c>
      <c r="AC15" s="53">
        <f t="shared" si="7"/>
        <v>3365679.4881598377</v>
      </c>
      <c r="AD15" s="53">
        <f t="shared" si="7"/>
        <v>3365106.2339637806</v>
      </c>
      <c r="AE15" s="53">
        <f t="shared" si="7"/>
        <v>3364518.3704793397</v>
      </c>
      <c r="AF15" s="53">
        <f t="shared" si="7"/>
        <v>3363915.9964975333</v>
      </c>
      <c r="AG15" s="53">
        <f t="shared" si="7"/>
        <v>3363299.210328551</v>
      </c>
      <c r="AH15" s="131">
        <f t="shared" si="7"/>
        <v>3357569.6296827598</v>
      </c>
    </row>
    <row r="16" spans="1:34" x14ac:dyDescent="0.25">
      <c r="A16" s="207"/>
      <c r="B16" s="203" t="s">
        <v>56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5" x14ac:dyDescent="0.25">
      <c r="A17" s="207"/>
      <c r="B17" s="10" t="s">
        <v>60</v>
      </c>
      <c r="C17" s="28" t="s">
        <v>2</v>
      </c>
      <c r="D17" s="20">
        <f t="shared" ref="D17:AH17" si="8">D18/D25</f>
        <v>0.27442020551186058</v>
      </c>
      <c r="E17" s="7">
        <f t="shared" si="8"/>
        <v>0.25064884637543161</v>
      </c>
      <c r="F17" s="7">
        <f t="shared" si="8"/>
        <v>0.24331256295969869</v>
      </c>
      <c r="G17" s="7">
        <f t="shared" si="8"/>
        <v>0.23539932944513467</v>
      </c>
      <c r="H17" s="7">
        <f t="shared" si="8"/>
        <v>0.22729482917502836</v>
      </c>
      <c r="I17" s="7">
        <f t="shared" si="8"/>
        <v>0.21933680172325837</v>
      </c>
      <c r="J17" s="7">
        <f t="shared" si="8"/>
        <v>0.12655195594289287</v>
      </c>
      <c r="K17" s="7">
        <f t="shared" si="8"/>
        <v>0.1263087825377017</v>
      </c>
      <c r="L17" s="7">
        <f t="shared" si="8"/>
        <v>0.12606421103582122</v>
      </c>
      <c r="M17" s="7">
        <f t="shared" si="8"/>
        <v>0.12581823489983768</v>
      </c>
      <c r="N17" s="7">
        <f t="shared" si="8"/>
        <v>0.12557084776517222</v>
      </c>
      <c r="O17" s="7">
        <f t="shared" si="8"/>
        <v>0.12532204344421233</v>
      </c>
      <c r="P17" s="7">
        <f t="shared" si="8"/>
        <v>0.12507181593045291</v>
      </c>
      <c r="Q17" s="7">
        <f t="shared" si="8"/>
        <v>0.12476391989531994</v>
      </c>
      <c r="R17" s="7">
        <f t="shared" si="8"/>
        <v>0.12396121668430699</v>
      </c>
      <c r="S17" s="7">
        <f t="shared" si="8"/>
        <v>0.12316402177925821</v>
      </c>
      <c r="T17" s="7">
        <f t="shared" si="8"/>
        <v>0.12237230359206985</v>
      </c>
      <c r="U17" s="7">
        <f t="shared" si="8"/>
        <v>0.12158603062878544</v>
      </c>
      <c r="V17" s="7">
        <f t="shared" si="8"/>
        <v>0.12080517149082559</v>
      </c>
      <c r="W17" s="7">
        <f t="shared" si="8"/>
        <v>0.12002969487618478</v>
      </c>
      <c r="X17" s="7">
        <f t="shared" si="8"/>
        <v>0.11925956958059539</v>
      </c>
      <c r="Y17" s="7">
        <f t="shared" si="8"/>
        <v>0.11849476449866003</v>
      </c>
      <c r="Z17" s="7">
        <f t="shared" si="8"/>
        <v>0.11773524862495259</v>
      </c>
      <c r="AA17" s="7">
        <f t="shared" si="8"/>
        <v>0.11686375111331875</v>
      </c>
      <c r="AB17" s="7">
        <f t="shared" si="8"/>
        <v>0.11599932753452852</v>
      </c>
      <c r="AC17" s="7">
        <f t="shared" si="8"/>
        <v>0.11514193173314076</v>
      </c>
      <c r="AD17" s="7">
        <f t="shared" si="8"/>
        <v>0.11429151762900534</v>
      </c>
      <c r="AE17" s="7">
        <f t="shared" si="8"/>
        <v>0.11344803922224278</v>
      </c>
      <c r="AF17" s="7">
        <f t="shared" si="8"/>
        <v>0.11261145059810633</v>
      </c>
      <c r="AG17" s="7">
        <f t="shared" si="8"/>
        <v>0.11178170593172831</v>
      </c>
      <c r="AH17" s="132">
        <f t="shared" si="8"/>
        <v>0.11108495052606542</v>
      </c>
    </row>
    <row r="18" spans="1:35" x14ac:dyDescent="0.25">
      <c r="A18" s="207"/>
      <c r="B18" s="10" t="s">
        <v>60</v>
      </c>
      <c r="C18" s="28" t="s">
        <v>18</v>
      </c>
      <c r="D18" s="18">
        <f>'Prognoza BA'!F12+'Prognoza BA'!F15</f>
        <v>1142537</v>
      </c>
      <c r="E18" s="48">
        <f>'Prognoza BA'!G12+'Prognoza BA'!G15</f>
        <v>1041094.8010268533</v>
      </c>
      <c r="F18" s="48">
        <f>'Prognoza BA'!H12+'Prognoza BA'!H15</f>
        <v>1033385.6499385812</v>
      </c>
      <c r="G18" s="48">
        <f>'Prognoza BA'!I12+'Prognoza BA'!I15</f>
        <v>1026141.1833076922</v>
      </c>
      <c r="H18" s="48">
        <f>'Prognoza BA'!J12+'Prognoza BA'!J15</f>
        <v>1019254.2359377008</v>
      </c>
      <c r="I18" s="48">
        <f>'Prognoza BA'!K12+'Prognoza BA'!K15</f>
        <v>1012606.3660005169</v>
      </c>
      <c r="J18" s="48">
        <f>'Prognoza BA'!L12+'Prognoza BA'!L15</f>
        <v>580983.52441831201</v>
      </c>
      <c r="K18" s="48">
        <f>'Prognoza BA'!M12+'Prognoza BA'!M15</f>
        <v>575359.53359415475</v>
      </c>
      <c r="L18" s="48">
        <f>'Prognoza BA'!N12+'Prognoza BA'!N15</f>
        <v>569791.81863731577</v>
      </c>
      <c r="M18" s="48">
        <f>'Prognoza BA'!O12+'Prognoza BA'!O15</f>
        <v>564279.8223931801</v>
      </c>
      <c r="N18" s="48">
        <f>'Prognoza BA'!P12+'Prognoza BA'!P15</f>
        <v>558822.99320122006</v>
      </c>
      <c r="O18" s="48">
        <f>'Prognoza BA'!Q12+'Prognoza BA'!Q15</f>
        <v>553420.78484084667</v>
      </c>
      <c r="P18" s="48">
        <f>'Prognoza BA'!R12+'Prognoza BA'!R15</f>
        <v>548072.65647779359</v>
      </c>
      <c r="Q18" s="48">
        <f>'Prognoza BA'!S12+'Prognoza BA'!S15</f>
        <v>542819.79143906571</v>
      </c>
      <c r="R18" s="48">
        <f>'Prognoza BA'!T12+'Prognoza BA'!T15</f>
        <v>537985.87620697636</v>
      </c>
      <c r="S18" s="48">
        <f>'Prognoza BA'!U12+'Prognoza BA'!U15</f>
        <v>533199.2245977876</v>
      </c>
      <c r="T18" s="48">
        <f>'Prognoza BA'!V12+'Prognoza BA'!V15</f>
        <v>528459.36732517614</v>
      </c>
      <c r="U18" s="48">
        <f>'Prognoza BA'!W12+'Prognoza BA'!W15</f>
        <v>523765.8397922439</v>
      </c>
      <c r="V18" s="48">
        <f>'Prognoza BA'!X12+'Prognoza BA'!X15</f>
        <v>519118.18204455602</v>
      </c>
      <c r="W18" s="48">
        <f>'Prognoza BA'!Y12+'Prognoza BA'!Y15</f>
        <v>514515.9387236482</v>
      </c>
      <c r="X18" s="48">
        <f>'Prognoza BA'!Z12+'Prognoza BA'!Z15</f>
        <v>509958.65902099991</v>
      </c>
      <c r="Y18" s="48">
        <f>'Prognoza BA'!AA12+'Prognoza BA'!AA15</f>
        <v>505445.89663246955</v>
      </c>
      <c r="Z18" s="48">
        <f>'Prognoza BA'!AB12+'Prognoza BA'!AB15</f>
        <v>500977.20971318521</v>
      </c>
      <c r="AA18" s="48">
        <f>'Prognoza BA'!AC12+'Prognoza BA'!AC15</f>
        <v>496643.85143754445</v>
      </c>
      <c r="AB18" s="48">
        <f>'Prognoza BA'!AD12+'Prognoza BA'!AD15</f>
        <v>492353.41456395434</v>
      </c>
      <c r="AC18" s="48">
        <f>'Prognoza BA'!AE12+'Prognoza BA'!AE15</f>
        <v>488105.46888166532</v>
      </c>
      <c r="AD18" s="48">
        <f>'Prognoza BA'!AF12+'Prognoza BA'!AF15</f>
        <v>483899.58849255356</v>
      </c>
      <c r="AE18" s="48">
        <f>'Prognoza BA'!AG12+'Prognoza BA'!AG15</f>
        <v>479735.35176793823</v>
      </c>
      <c r="AF18" s="48">
        <f>'Prognoza BA'!AH12+'Prognoza BA'!AH15</f>
        <v>475612.34130582999</v>
      </c>
      <c r="AG18" s="48">
        <f>'Prognoza BA'!AI12+'Prognoza BA'!AI15</f>
        <v>471530.14388860826</v>
      </c>
      <c r="AH18" s="198">
        <f>'Prognoza BA'!AJ12+'Prognoza BA'!AJ15</f>
        <v>467384.29982640571</v>
      </c>
    </row>
    <row r="19" spans="1:35" x14ac:dyDescent="0.25">
      <c r="A19" s="207"/>
      <c r="B19" s="10" t="s">
        <v>61</v>
      </c>
      <c r="C19" s="28" t="s">
        <v>2</v>
      </c>
      <c r="D19" s="20">
        <f t="shared" ref="D19:AH19" si="9">D20/D25</f>
        <v>2.9126509742622597E-2</v>
      </c>
      <c r="E19" s="7">
        <f t="shared" si="9"/>
        <v>2.8903688009195246E-2</v>
      </c>
      <c r="F19" s="7">
        <f t="shared" si="9"/>
        <v>2.7984343948613096E-2</v>
      </c>
      <c r="G19" s="7">
        <f t="shared" si="9"/>
        <v>2.6992699566934415E-2</v>
      </c>
      <c r="H19" s="7">
        <f t="shared" si="9"/>
        <v>2.5977086651635901E-2</v>
      </c>
      <c r="I19" s="7">
        <f t="shared" si="9"/>
        <v>2.4979828931733113E-2</v>
      </c>
      <c r="J19" s="7">
        <f t="shared" si="9"/>
        <v>9.0909090909090912E-2</v>
      </c>
      <c r="K19" s="7">
        <f t="shared" si="9"/>
        <v>9.0909090909090912E-2</v>
      </c>
      <c r="L19" s="7">
        <f t="shared" si="9"/>
        <v>9.0909090909090912E-2</v>
      </c>
      <c r="M19" s="7">
        <f t="shared" si="9"/>
        <v>9.0909090909090912E-2</v>
      </c>
      <c r="N19" s="7">
        <f t="shared" si="9"/>
        <v>9.0909090909090912E-2</v>
      </c>
      <c r="O19" s="7">
        <f t="shared" si="9"/>
        <v>9.0909090909090898E-2</v>
      </c>
      <c r="P19" s="7">
        <f t="shared" si="9"/>
        <v>9.0909090909090912E-2</v>
      </c>
      <c r="Q19" s="7">
        <f t="shared" si="9"/>
        <v>9.0909090909090912E-2</v>
      </c>
      <c r="R19" s="7">
        <f t="shared" si="9"/>
        <v>9.0909090909090925E-2</v>
      </c>
      <c r="S19" s="7">
        <f t="shared" si="9"/>
        <v>9.0909090909090912E-2</v>
      </c>
      <c r="T19" s="7">
        <f t="shared" si="9"/>
        <v>9.0909090909090898E-2</v>
      </c>
      <c r="U19" s="7">
        <f t="shared" si="9"/>
        <v>9.0909090909090912E-2</v>
      </c>
      <c r="V19" s="7">
        <f t="shared" si="9"/>
        <v>9.0909090909090912E-2</v>
      </c>
      <c r="W19" s="7">
        <f t="shared" si="9"/>
        <v>9.0909090909090912E-2</v>
      </c>
      <c r="X19" s="7">
        <f t="shared" si="9"/>
        <v>9.0909090909090912E-2</v>
      </c>
      <c r="Y19" s="7">
        <f t="shared" si="9"/>
        <v>9.0909090909090925E-2</v>
      </c>
      <c r="Z19" s="7">
        <f t="shared" si="9"/>
        <v>9.0909090909090912E-2</v>
      </c>
      <c r="AA19" s="7">
        <f t="shared" si="9"/>
        <v>9.0909090909090925E-2</v>
      </c>
      <c r="AB19" s="7">
        <f t="shared" si="9"/>
        <v>9.0909090909090912E-2</v>
      </c>
      <c r="AC19" s="7">
        <f t="shared" si="9"/>
        <v>9.0909090909090912E-2</v>
      </c>
      <c r="AD19" s="7">
        <f t="shared" si="9"/>
        <v>9.0909090909090925E-2</v>
      </c>
      <c r="AE19" s="7">
        <f t="shared" si="9"/>
        <v>9.0909090909090912E-2</v>
      </c>
      <c r="AF19" s="7">
        <f t="shared" si="9"/>
        <v>9.0909090909090912E-2</v>
      </c>
      <c r="AG19" s="7">
        <f t="shared" si="9"/>
        <v>9.0909090909090925E-2</v>
      </c>
      <c r="AH19" s="132">
        <f t="shared" si="9"/>
        <v>9.0909090909090912E-2</v>
      </c>
    </row>
    <row r="20" spans="1:35" x14ac:dyDescent="0.25">
      <c r="A20" s="207"/>
      <c r="B20" s="10" t="s">
        <v>61</v>
      </c>
      <c r="C20" s="29" t="s">
        <v>18</v>
      </c>
      <c r="D20" s="22">
        <f>'[1]Water Balance m3'!$T$16</f>
        <v>121267</v>
      </c>
      <c r="E20" s="54">
        <f>'Prognoza BA'!G9</f>
        <v>120054.32999999999</v>
      </c>
      <c r="F20" s="54">
        <f>'Prognoza BA'!H9</f>
        <v>118853.78669999998</v>
      </c>
      <c r="G20" s="54">
        <f>'Prognoza BA'!I9</f>
        <v>117665.24883299999</v>
      </c>
      <c r="H20" s="54">
        <f>'Prognoza BA'!J9</f>
        <v>116488.59634466999</v>
      </c>
      <c r="I20" s="54">
        <f>'Prognoza BA'!K9</f>
        <v>115323.71038122328</v>
      </c>
      <c r="J20" s="54">
        <f>'Prognoza BA'!L9</f>
        <v>417351.77970589511</v>
      </c>
      <c r="K20" s="54">
        <f>'Prognoza BA'!M9</f>
        <v>414107.4840089652</v>
      </c>
      <c r="L20" s="54">
        <f>'Prognoza BA'!N9</f>
        <v>410895.81106438837</v>
      </c>
      <c r="M20" s="54">
        <f>'Prognoza BA'!O9</f>
        <v>407716.46266493178</v>
      </c>
      <c r="N20" s="54">
        <f>'Prognoza BA'!P9</f>
        <v>404569.14319814165</v>
      </c>
      <c r="O20" s="54">
        <f>'Prognoza BA'!Q9</f>
        <v>401453.55962435389</v>
      </c>
      <c r="P20" s="54">
        <f>'Prognoza BA'!R9</f>
        <v>398369.42145488731</v>
      </c>
      <c r="Q20" s="54">
        <f>'Prognoza BA'!S9</f>
        <v>395525.03487058898</v>
      </c>
      <c r="R20" s="54">
        <f>'Prognoza BA'!T9</f>
        <v>394541.19793338951</v>
      </c>
      <c r="S20" s="54">
        <f>'Prognoza BA'!U9</f>
        <v>393561.82171846088</v>
      </c>
      <c r="T20" s="54">
        <f>'Prognoza BA'!V9</f>
        <v>392586.87836810789</v>
      </c>
      <c r="U20" s="54">
        <f>'Prognoza BA'!W9</f>
        <v>391616.34028602461</v>
      </c>
      <c r="V20" s="54">
        <f>'Prognoza BA'!X9</f>
        <v>390650.18013433751</v>
      </c>
      <c r="W20" s="54">
        <f>'Prognoza BA'!Y9</f>
        <v>389688.37083068263</v>
      </c>
      <c r="X20" s="2">
        <f>'Prognoza BA'!Z9</f>
        <v>388730.88554531685</v>
      </c>
      <c r="Y20" s="2">
        <f>'Prognoza BA'!AA9</f>
        <v>387777.69769826205</v>
      </c>
      <c r="Z20" s="2">
        <f>'Prognoza BA'!AB9</f>
        <v>386828.78095648135</v>
      </c>
      <c r="AA20" s="2">
        <f>'Prognoza BA'!AC9</f>
        <v>386342.56225437194</v>
      </c>
      <c r="AB20" s="2">
        <f>'Prognoza BA'!AD9</f>
        <v>385859.14483575523</v>
      </c>
      <c r="AC20" s="2">
        <f>'Prognoza BA'!AE9</f>
        <v>385378.49570415035</v>
      </c>
      <c r="AD20" s="2">
        <f>'Prognoza BA'!AF9</f>
        <v>384900.58224563347</v>
      </c>
      <c r="AE20" s="2">
        <f>'Prognoza BA'!AG9</f>
        <v>384425.37222472782</v>
      </c>
      <c r="AF20" s="2">
        <f>'Prognoza BA'!AH9</f>
        <v>383952.83378033631</v>
      </c>
      <c r="AG20" s="2">
        <f>'Prognoza BA'!AI9</f>
        <v>383482.93542171596</v>
      </c>
      <c r="AH20" s="126">
        <f>'Prognoza BA'!AJ9</f>
        <v>382495.3929509166</v>
      </c>
    </row>
    <row r="21" spans="1:35" x14ac:dyDescent="0.25">
      <c r="A21" s="207"/>
      <c r="B21" s="4" t="s">
        <v>62</v>
      </c>
      <c r="C21" s="29" t="s">
        <v>2</v>
      </c>
      <c r="D21" s="21">
        <f t="shared" ref="D21:AH21" si="10">D22/D25</f>
        <v>0</v>
      </c>
      <c r="E21" s="7">
        <f t="shared" si="10"/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0"/>
        <v>0</v>
      </c>
      <c r="J21" s="7">
        <f t="shared" si="10"/>
        <v>0</v>
      </c>
      <c r="K21" s="7">
        <f t="shared" si="10"/>
        <v>0</v>
      </c>
      <c r="L21" s="7">
        <f t="shared" si="10"/>
        <v>0</v>
      </c>
      <c r="M21" s="7">
        <f t="shared" si="10"/>
        <v>0</v>
      </c>
      <c r="N21" s="7">
        <f t="shared" si="10"/>
        <v>0</v>
      </c>
      <c r="O21" s="7">
        <f t="shared" si="10"/>
        <v>0</v>
      </c>
      <c r="P21" s="7">
        <f t="shared" si="10"/>
        <v>0</v>
      </c>
      <c r="Q21" s="7">
        <f t="shared" si="10"/>
        <v>0</v>
      </c>
      <c r="R21" s="7">
        <f t="shared" si="10"/>
        <v>0</v>
      </c>
      <c r="S21" s="7">
        <f t="shared" si="10"/>
        <v>0</v>
      </c>
      <c r="T21" s="7">
        <f t="shared" si="10"/>
        <v>0</v>
      </c>
      <c r="U21" s="7">
        <f t="shared" si="10"/>
        <v>0</v>
      </c>
      <c r="V21" s="7">
        <f t="shared" si="10"/>
        <v>0</v>
      </c>
      <c r="W21" s="7">
        <f t="shared" si="10"/>
        <v>0</v>
      </c>
      <c r="X21" s="7">
        <f t="shared" si="10"/>
        <v>0</v>
      </c>
      <c r="Y21" s="7">
        <f t="shared" si="10"/>
        <v>0</v>
      </c>
      <c r="Z21" s="7">
        <f t="shared" si="10"/>
        <v>0</v>
      </c>
      <c r="AA21" s="7">
        <f t="shared" si="10"/>
        <v>0</v>
      </c>
      <c r="AB21" s="7">
        <f t="shared" si="10"/>
        <v>0</v>
      </c>
      <c r="AC21" s="7">
        <f t="shared" si="10"/>
        <v>0</v>
      </c>
      <c r="AD21" s="7">
        <f t="shared" si="10"/>
        <v>0</v>
      </c>
      <c r="AE21" s="7">
        <f t="shared" si="10"/>
        <v>0</v>
      </c>
      <c r="AF21" s="7">
        <f t="shared" si="10"/>
        <v>0</v>
      </c>
      <c r="AG21" s="7">
        <f t="shared" si="10"/>
        <v>0</v>
      </c>
      <c r="AH21" s="132">
        <f t="shared" si="10"/>
        <v>0</v>
      </c>
    </row>
    <row r="22" spans="1:35" x14ac:dyDescent="0.25">
      <c r="A22" s="207"/>
      <c r="B22" s="4" t="s">
        <v>62</v>
      </c>
      <c r="C22" s="29" t="s">
        <v>18</v>
      </c>
      <c r="D22" s="22">
        <v>0</v>
      </c>
      <c r="E22" s="45">
        <f>D22</f>
        <v>0</v>
      </c>
      <c r="F22" s="45">
        <f t="shared" ref="F22:AH22" si="11">E22</f>
        <v>0</v>
      </c>
      <c r="G22" s="45">
        <f t="shared" si="11"/>
        <v>0</v>
      </c>
      <c r="H22" s="45">
        <f t="shared" si="11"/>
        <v>0</v>
      </c>
      <c r="I22" s="45">
        <f t="shared" si="11"/>
        <v>0</v>
      </c>
      <c r="J22" s="65">
        <f t="shared" si="11"/>
        <v>0</v>
      </c>
      <c r="K22" s="82">
        <f t="shared" si="11"/>
        <v>0</v>
      </c>
      <c r="L22" s="54">
        <f t="shared" si="11"/>
        <v>0</v>
      </c>
      <c r="M22" s="54">
        <f t="shared" si="11"/>
        <v>0</v>
      </c>
      <c r="N22" s="54">
        <f t="shared" si="11"/>
        <v>0</v>
      </c>
      <c r="O22" s="54">
        <f t="shared" si="11"/>
        <v>0</v>
      </c>
      <c r="P22" s="54">
        <f t="shared" si="11"/>
        <v>0</v>
      </c>
      <c r="Q22" s="54">
        <f t="shared" si="11"/>
        <v>0</v>
      </c>
      <c r="R22" s="54">
        <f t="shared" si="11"/>
        <v>0</v>
      </c>
      <c r="S22" s="54">
        <f t="shared" si="11"/>
        <v>0</v>
      </c>
      <c r="T22" s="54">
        <f t="shared" si="11"/>
        <v>0</v>
      </c>
      <c r="U22" s="54">
        <f t="shared" si="11"/>
        <v>0</v>
      </c>
      <c r="V22" s="54">
        <f t="shared" si="11"/>
        <v>0</v>
      </c>
      <c r="W22" s="54">
        <f t="shared" si="11"/>
        <v>0</v>
      </c>
      <c r="X22" s="54">
        <f t="shared" si="11"/>
        <v>0</v>
      </c>
      <c r="Y22" s="54">
        <f t="shared" si="11"/>
        <v>0</v>
      </c>
      <c r="Z22" s="54">
        <f t="shared" si="11"/>
        <v>0</v>
      </c>
      <c r="AA22" s="54">
        <f t="shared" si="11"/>
        <v>0</v>
      </c>
      <c r="AB22" s="54">
        <f t="shared" si="11"/>
        <v>0</v>
      </c>
      <c r="AC22" s="54">
        <f t="shared" si="11"/>
        <v>0</v>
      </c>
      <c r="AD22" s="54">
        <f t="shared" si="11"/>
        <v>0</v>
      </c>
      <c r="AE22" s="54">
        <f t="shared" si="11"/>
        <v>0</v>
      </c>
      <c r="AF22" s="54">
        <f t="shared" si="11"/>
        <v>0</v>
      </c>
      <c r="AG22" s="54">
        <f t="shared" si="11"/>
        <v>0</v>
      </c>
      <c r="AH22" s="199">
        <f t="shared" si="11"/>
        <v>0</v>
      </c>
    </row>
    <row r="23" spans="1:35" x14ac:dyDescent="0.25">
      <c r="A23" s="207"/>
      <c r="B23" s="11" t="s">
        <v>63</v>
      </c>
      <c r="C23" s="30" t="s">
        <v>2</v>
      </c>
      <c r="D23" s="24">
        <f t="shared" ref="D23:AH23" si="12">D24/D25</f>
        <v>0.30354671525448318</v>
      </c>
      <c r="E23" s="17">
        <f t="shared" si="12"/>
        <v>0.27955253438462691</v>
      </c>
      <c r="F23" s="17">
        <f t="shared" si="12"/>
        <v>0.27129690690831176</v>
      </c>
      <c r="G23" s="17">
        <f t="shared" si="12"/>
        <v>0.26239202901206909</v>
      </c>
      <c r="H23" s="17">
        <f t="shared" si="12"/>
        <v>0.25327191582666425</v>
      </c>
      <c r="I23" s="17">
        <f t="shared" si="12"/>
        <v>0.24431663065499146</v>
      </c>
      <c r="J23" s="17">
        <f t="shared" si="12"/>
        <v>0.21746104685198378</v>
      </c>
      <c r="K23" s="17">
        <f t="shared" si="12"/>
        <v>0.21721787344679261</v>
      </c>
      <c r="L23" s="17">
        <f t="shared" si="12"/>
        <v>0.21697330194491213</v>
      </c>
      <c r="M23" s="17">
        <f t="shared" si="12"/>
        <v>0.21672732580892859</v>
      </c>
      <c r="N23" s="17">
        <f t="shared" si="12"/>
        <v>0.21647993867426313</v>
      </c>
      <c r="O23" s="17">
        <f t="shared" si="12"/>
        <v>0.21623113435330324</v>
      </c>
      <c r="P23" s="17">
        <f t="shared" si="12"/>
        <v>0.21598090683954382</v>
      </c>
      <c r="Q23" s="17">
        <f t="shared" si="12"/>
        <v>0.21567301080441084</v>
      </c>
      <c r="R23" s="17">
        <f t="shared" si="12"/>
        <v>0.21487030759339792</v>
      </c>
      <c r="S23" s="17">
        <f t="shared" si="12"/>
        <v>0.21407311268834914</v>
      </c>
      <c r="T23" s="17">
        <f t="shared" si="12"/>
        <v>0.21328139450116076</v>
      </c>
      <c r="U23" s="17">
        <f t="shared" si="12"/>
        <v>0.21249512153787634</v>
      </c>
      <c r="V23" s="17">
        <f t="shared" si="12"/>
        <v>0.2117142623999165</v>
      </c>
      <c r="W23" s="17">
        <f t="shared" si="12"/>
        <v>0.2109387857852757</v>
      </c>
      <c r="X23" s="17">
        <f t="shared" si="12"/>
        <v>0.2101686604896863</v>
      </c>
      <c r="Y23" s="17">
        <f t="shared" si="12"/>
        <v>0.20940385540775094</v>
      </c>
      <c r="Z23" s="17">
        <f t="shared" si="12"/>
        <v>0.20864433953404352</v>
      </c>
      <c r="AA23" s="17">
        <f t="shared" si="12"/>
        <v>0.20777284202240967</v>
      </c>
      <c r="AB23" s="17">
        <f t="shared" si="12"/>
        <v>0.20690841844361943</v>
      </c>
      <c r="AC23" s="17">
        <f t="shared" si="12"/>
        <v>0.20605102264223166</v>
      </c>
      <c r="AD23" s="17">
        <f t="shared" si="12"/>
        <v>0.20520060853809627</v>
      </c>
      <c r="AE23" s="17">
        <f t="shared" si="12"/>
        <v>0.20435713013133369</v>
      </c>
      <c r="AF23" s="17">
        <f t="shared" si="12"/>
        <v>0.20352054150719723</v>
      </c>
      <c r="AG23" s="17">
        <f t="shared" si="12"/>
        <v>0.20269079684081925</v>
      </c>
      <c r="AH23" s="133">
        <f t="shared" si="12"/>
        <v>0.20199404143515634</v>
      </c>
    </row>
    <row r="24" spans="1:35" ht="15.75" thickBot="1" x14ac:dyDescent="0.3">
      <c r="A24" s="207"/>
      <c r="B24" s="12" t="s">
        <v>63</v>
      </c>
      <c r="C24" s="31" t="s">
        <v>17</v>
      </c>
      <c r="D24" s="52">
        <f>D18+D20+D22</f>
        <v>1263804</v>
      </c>
      <c r="E24" s="53">
        <f t="shared" ref="E24:AH24" si="13">E22+E20+E18</f>
        <v>1161149.1310268533</v>
      </c>
      <c r="F24" s="53">
        <f t="shared" si="13"/>
        <v>1152239.4366385811</v>
      </c>
      <c r="G24" s="53">
        <f t="shared" si="13"/>
        <v>1143806.4321406921</v>
      </c>
      <c r="H24" s="53">
        <f t="shared" si="13"/>
        <v>1135742.8322823709</v>
      </c>
      <c r="I24" s="53">
        <f t="shared" si="13"/>
        <v>1127930.0763817402</v>
      </c>
      <c r="J24" s="53">
        <f t="shared" si="13"/>
        <v>998335.30412420712</v>
      </c>
      <c r="K24" s="53">
        <f t="shared" si="13"/>
        <v>989467.01760311995</v>
      </c>
      <c r="L24" s="53">
        <f t="shared" si="13"/>
        <v>980687.62970170414</v>
      </c>
      <c r="M24" s="53">
        <f t="shared" si="13"/>
        <v>971996.28505811188</v>
      </c>
      <c r="N24" s="53">
        <f t="shared" si="13"/>
        <v>963392.13639936177</v>
      </c>
      <c r="O24" s="53">
        <f t="shared" si="13"/>
        <v>954874.34446520056</v>
      </c>
      <c r="P24" s="53">
        <f t="shared" si="13"/>
        <v>946442.07793268096</v>
      </c>
      <c r="Q24" s="53">
        <f t="shared" si="13"/>
        <v>938344.82630965463</v>
      </c>
      <c r="R24" s="53">
        <f t="shared" si="13"/>
        <v>932527.07414036593</v>
      </c>
      <c r="S24" s="53">
        <f t="shared" si="13"/>
        <v>926761.04631624848</v>
      </c>
      <c r="T24" s="53">
        <f t="shared" si="13"/>
        <v>921046.24569328409</v>
      </c>
      <c r="U24" s="53">
        <f t="shared" si="13"/>
        <v>915382.18007826852</v>
      </c>
      <c r="V24" s="53">
        <f t="shared" si="13"/>
        <v>909768.36217889353</v>
      </c>
      <c r="W24" s="53">
        <f t="shared" si="13"/>
        <v>904204.30955433077</v>
      </c>
      <c r="X24" s="53">
        <f t="shared" si="13"/>
        <v>898689.54456631676</v>
      </c>
      <c r="Y24" s="53">
        <f t="shared" si="13"/>
        <v>893223.59433073155</v>
      </c>
      <c r="Z24" s="53">
        <f t="shared" si="13"/>
        <v>887805.99066966656</v>
      </c>
      <c r="AA24" s="53">
        <f t="shared" si="13"/>
        <v>882986.41369191639</v>
      </c>
      <c r="AB24" s="53">
        <f t="shared" si="13"/>
        <v>878212.55939970957</v>
      </c>
      <c r="AC24" s="53">
        <f t="shared" si="13"/>
        <v>873483.96458581567</v>
      </c>
      <c r="AD24" s="53">
        <f t="shared" si="13"/>
        <v>868800.17073818704</v>
      </c>
      <c r="AE24" s="53">
        <f t="shared" si="13"/>
        <v>864160.723992666</v>
      </c>
      <c r="AF24" s="53">
        <f t="shared" si="13"/>
        <v>859565.17508616624</v>
      </c>
      <c r="AG24" s="53">
        <f t="shared" si="13"/>
        <v>855013.07931032428</v>
      </c>
      <c r="AH24" s="131">
        <f t="shared" si="13"/>
        <v>849879.69277732237</v>
      </c>
    </row>
    <row r="25" spans="1:35" ht="15.75" thickBot="1" x14ac:dyDescent="0.3">
      <c r="A25" s="208"/>
      <c r="B25" s="13" t="s">
        <v>19</v>
      </c>
      <c r="C25" s="32" t="s">
        <v>17</v>
      </c>
      <c r="D25" s="135">
        <f>D15+D24</f>
        <v>4163458</v>
      </c>
      <c r="E25" s="98">
        <f t="shared" ref="E25:AG25" si="14">E15+E24</f>
        <v>4153599.013447925</v>
      </c>
      <c r="F25" s="98">
        <f t="shared" si="14"/>
        <v>4247152.8694132697</v>
      </c>
      <c r="G25" s="98">
        <f t="shared" si="14"/>
        <v>4359150.8341439795</v>
      </c>
      <c r="H25" s="98">
        <f t="shared" si="14"/>
        <v>4484282.5489568189</v>
      </c>
      <c r="I25" s="98">
        <f t="shared" si="14"/>
        <v>4616673.3445769064</v>
      </c>
      <c r="J25" s="98">
        <f t="shared" si="14"/>
        <v>4590869.5767648462</v>
      </c>
      <c r="K25" s="98">
        <f t="shared" si="14"/>
        <v>4555182.3240986168</v>
      </c>
      <c r="L25" s="98">
        <f t="shared" si="14"/>
        <v>4519853.9217082718</v>
      </c>
      <c r="M25" s="98">
        <f t="shared" si="14"/>
        <v>4484881.0893142493</v>
      </c>
      <c r="N25" s="98">
        <f t="shared" si="14"/>
        <v>4450260.5751795582</v>
      </c>
      <c r="O25" s="98">
        <f t="shared" si="14"/>
        <v>4415989.1558678932</v>
      </c>
      <c r="P25" s="98">
        <f t="shared" si="14"/>
        <v>4382063.6360037606</v>
      </c>
      <c r="Q25" s="98">
        <f t="shared" si="14"/>
        <v>4350775.3835764788</v>
      </c>
      <c r="R25" s="98">
        <f t="shared" si="14"/>
        <v>4339953.1772672841</v>
      </c>
      <c r="S25" s="98">
        <f t="shared" si="14"/>
        <v>4329180.0389030697</v>
      </c>
      <c r="T25" s="98">
        <f t="shared" si="14"/>
        <v>4318455.6620491873</v>
      </c>
      <c r="U25" s="98">
        <f t="shared" si="14"/>
        <v>4307779.7431462705</v>
      </c>
      <c r="V25" s="98">
        <f t="shared" si="14"/>
        <v>4297151.9814777123</v>
      </c>
      <c r="W25" s="98">
        <f t="shared" si="14"/>
        <v>4286572.0791375088</v>
      </c>
      <c r="X25" s="98">
        <f t="shared" si="14"/>
        <v>4276039.7409984851</v>
      </c>
      <c r="Y25" s="98">
        <f t="shared" si="14"/>
        <v>4265554.6746808821</v>
      </c>
      <c r="Z25" s="98">
        <f t="shared" si="14"/>
        <v>4255116.5905212946</v>
      </c>
      <c r="AA25" s="98">
        <f t="shared" si="14"/>
        <v>4249768.1847980907</v>
      </c>
      <c r="AB25" s="98">
        <f t="shared" si="14"/>
        <v>4244450.5931933075</v>
      </c>
      <c r="AC25" s="98">
        <f t="shared" si="14"/>
        <v>4239163.4527456537</v>
      </c>
      <c r="AD25" s="98">
        <f t="shared" si="14"/>
        <v>4233906.4047019677</v>
      </c>
      <c r="AE25" s="98">
        <f t="shared" si="14"/>
        <v>4228679.094472006</v>
      </c>
      <c r="AF25" s="98">
        <f t="shared" si="14"/>
        <v>4223481.1715836991</v>
      </c>
      <c r="AG25" s="98">
        <f t="shared" si="14"/>
        <v>4218312.2896388751</v>
      </c>
      <c r="AH25" s="170">
        <f>AH15+AH24</f>
        <v>4207449.3224600824</v>
      </c>
      <c r="AI25" s="1"/>
    </row>
    <row r="26" spans="1:35" ht="15" customHeight="1" x14ac:dyDescent="0.25">
      <c r="A26" s="36" t="s">
        <v>24</v>
      </c>
      <c r="B26" s="37" t="s">
        <v>21</v>
      </c>
      <c r="C26" s="33"/>
      <c r="D26" s="38"/>
      <c r="E26" s="38"/>
      <c r="F26" s="38"/>
      <c r="G26" s="38"/>
      <c r="H26" s="38"/>
      <c r="I26" s="38"/>
      <c r="J26" s="87">
        <f t="shared" ref="J26" si="15">J28/J27</f>
        <v>1.1617196887564467</v>
      </c>
      <c r="K26" s="55">
        <f t="shared" ref="K26:AH26" si="16">K28/K27</f>
        <v>1.1613587973627757</v>
      </c>
      <c r="L26" s="6">
        <f t="shared" si="16"/>
        <v>1.1609960571573668</v>
      </c>
      <c r="M26" s="49">
        <f t="shared" si="16"/>
        <v>1.1606314621275113</v>
      </c>
      <c r="N26" s="6">
        <f t="shared" si="16"/>
        <v>1.160265006556058</v>
      </c>
      <c r="O26" s="6">
        <f t="shared" si="16"/>
        <v>1.159896685026915</v>
      </c>
      <c r="P26" s="6">
        <f t="shared" si="16"/>
        <v>1.1595264924305304</v>
      </c>
      <c r="Q26" s="6">
        <f t="shared" si="16"/>
        <v>1.1590713077759554</v>
      </c>
      <c r="R26" s="6">
        <f t="shared" si="16"/>
        <v>1.1578862930331133</v>
      </c>
      <c r="S26" s="6">
        <f t="shared" si="16"/>
        <v>1.1567118058532826</v>
      </c>
      <c r="T26" s="6">
        <f t="shared" si="16"/>
        <v>1.1555477431660286</v>
      </c>
      <c r="U26" s="6">
        <f t="shared" si="16"/>
        <v>1.1543940030774467</v>
      </c>
      <c r="V26" s="6">
        <f t="shared" si="16"/>
        <v>1.1532504848541518</v>
      </c>
      <c r="W26" s="39">
        <f t="shared" si="16"/>
        <v>1.1521170889075301</v>
      </c>
      <c r="X26" s="6">
        <f t="shared" si="16"/>
        <v>1.1509937167782363</v>
      </c>
      <c r="Y26" s="6">
        <f t="shared" si="16"/>
        <v>1.1498802711209448</v>
      </c>
      <c r="Z26" s="6">
        <f t="shared" si="16"/>
        <v>1.1487766556893384</v>
      </c>
      <c r="AA26" s="6">
        <f t="shared" si="16"/>
        <v>1.1475129322903421</v>
      </c>
      <c r="AB26" s="6">
        <f t="shared" si="16"/>
        <v>1.1462622101055329</v>
      </c>
      <c r="AC26" s="6">
        <f t="shared" si="16"/>
        <v>1.1450243466731689</v>
      </c>
      <c r="AD26" s="6">
        <f t="shared" si="16"/>
        <v>1.1437992012283562</v>
      </c>
      <c r="AE26" s="6">
        <f t="shared" si="16"/>
        <v>1.142586634680669</v>
      </c>
      <c r="AF26" s="6">
        <f t="shared" si="16"/>
        <v>1.1413865095921039</v>
      </c>
      <c r="AG26" s="6">
        <f t="shared" si="16"/>
        <v>1.1401986901553565</v>
      </c>
      <c r="AH26" s="6">
        <f t="shared" si="16"/>
        <v>1.139203159241873</v>
      </c>
    </row>
    <row r="27" spans="1:35" ht="30" x14ac:dyDescent="0.25">
      <c r="A27" s="40" t="s">
        <v>25</v>
      </c>
      <c r="B27" s="8" t="s">
        <v>20</v>
      </c>
      <c r="C27" s="26"/>
      <c r="D27" s="41"/>
      <c r="E27" s="41"/>
      <c r="F27" s="41"/>
      <c r="G27" s="41"/>
      <c r="H27" s="41"/>
      <c r="I27" s="41"/>
      <c r="J27" s="42">
        <v>1.1000000000000001</v>
      </c>
      <c r="K27" s="42">
        <f>J27</f>
        <v>1.1000000000000001</v>
      </c>
      <c r="L27" s="5">
        <f t="shared" ref="L27:AH27" si="17">K27</f>
        <v>1.1000000000000001</v>
      </c>
      <c r="M27" s="50">
        <f t="shared" si="17"/>
        <v>1.1000000000000001</v>
      </c>
      <c r="N27" s="5">
        <f t="shared" si="17"/>
        <v>1.1000000000000001</v>
      </c>
      <c r="O27" s="5">
        <f t="shared" si="17"/>
        <v>1.1000000000000001</v>
      </c>
      <c r="P27" s="5">
        <f t="shared" si="17"/>
        <v>1.1000000000000001</v>
      </c>
      <c r="Q27" s="5">
        <f t="shared" si="17"/>
        <v>1.1000000000000001</v>
      </c>
      <c r="R27" s="5">
        <f t="shared" si="17"/>
        <v>1.1000000000000001</v>
      </c>
      <c r="S27" s="5">
        <f t="shared" si="17"/>
        <v>1.1000000000000001</v>
      </c>
      <c r="T27" s="5">
        <f t="shared" si="17"/>
        <v>1.1000000000000001</v>
      </c>
      <c r="U27" s="5">
        <f t="shared" si="17"/>
        <v>1.1000000000000001</v>
      </c>
      <c r="V27" s="5">
        <f t="shared" si="17"/>
        <v>1.1000000000000001</v>
      </c>
      <c r="W27" s="42">
        <f t="shared" si="17"/>
        <v>1.1000000000000001</v>
      </c>
      <c r="X27" s="5">
        <f t="shared" si="17"/>
        <v>1.1000000000000001</v>
      </c>
      <c r="Y27" s="5">
        <f t="shared" si="17"/>
        <v>1.1000000000000001</v>
      </c>
      <c r="Z27" s="5">
        <f t="shared" si="17"/>
        <v>1.1000000000000001</v>
      </c>
      <c r="AA27" s="5">
        <f t="shared" si="17"/>
        <v>1.1000000000000001</v>
      </c>
      <c r="AB27" s="5">
        <f t="shared" si="17"/>
        <v>1.1000000000000001</v>
      </c>
      <c r="AC27" s="5">
        <f t="shared" si="17"/>
        <v>1.1000000000000001</v>
      </c>
      <c r="AD27" s="5">
        <f t="shared" si="17"/>
        <v>1.1000000000000001</v>
      </c>
      <c r="AE27" s="5">
        <f t="shared" si="17"/>
        <v>1.1000000000000001</v>
      </c>
      <c r="AF27" s="5">
        <f t="shared" si="17"/>
        <v>1.1000000000000001</v>
      </c>
      <c r="AG27" s="5">
        <f t="shared" si="17"/>
        <v>1.1000000000000001</v>
      </c>
      <c r="AH27" s="5">
        <f t="shared" si="17"/>
        <v>1.1000000000000001</v>
      </c>
    </row>
    <row r="28" spans="1:35" ht="15.75" thickBot="1" x14ac:dyDescent="0.3">
      <c r="A28" s="9"/>
      <c r="B28" s="43" t="s">
        <v>26</v>
      </c>
      <c r="C28" s="25"/>
      <c r="D28" s="34">
        <f t="shared" ref="D28:I28" si="18">(D15+D18+D20+D22)/D15</f>
        <v>1.435846483752889</v>
      </c>
      <c r="E28" s="34">
        <f t="shared" si="18"/>
        <v>1.3880262583002438</v>
      </c>
      <c r="F28" s="34">
        <f t="shared" si="18"/>
        <v>1.3723010228449464</v>
      </c>
      <c r="G28" s="34">
        <f t="shared" si="18"/>
        <v>1.35573372215681</v>
      </c>
      <c r="H28" s="34">
        <f t="shared" si="18"/>
        <v>1.3391755596108972</v>
      </c>
      <c r="I28" s="34">
        <f t="shared" si="18"/>
        <v>1.3233055543709447</v>
      </c>
      <c r="J28" s="34">
        <f>(J15+J18+J20+J22)/(J15)</f>
        <v>1.2778916576320916</v>
      </c>
      <c r="K28" s="34">
        <f>(K15+K18+K20+K22)/(K15)</f>
        <v>1.2774946770990534</v>
      </c>
      <c r="L28" s="34">
        <f t="shared" ref="L28:AH28" si="19">(L15+L18+L20+L22)/(L15)</f>
        <v>1.2770956628731036</v>
      </c>
      <c r="M28" s="46">
        <f t="shared" si="19"/>
        <v>1.2766946083402626</v>
      </c>
      <c r="N28" s="34">
        <f t="shared" si="19"/>
        <v>1.2762915072116638</v>
      </c>
      <c r="O28" s="34">
        <f t="shared" si="19"/>
        <v>1.2758863535296066</v>
      </c>
      <c r="P28" s="34">
        <f t="shared" si="19"/>
        <v>1.2754791416735836</v>
      </c>
      <c r="Q28" s="34">
        <f t="shared" si="19"/>
        <v>1.274978438553551</v>
      </c>
      <c r="R28" s="34">
        <f t="shared" si="19"/>
        <v>1.2736749223364248</v>
      </c>
      <c r="S28" s="34">
        <f t="shared" si="19"/>
        <v>1.2723829864386109</v>
      </c>
      <c r="T28" s="34">
        <f t="shared" si="19"/>
        <v>1.2711025174826316</v>
      </c>
      <c r="U28" s="34">
        <f t="shared" si="19"/>
        <v>1.2698334033851915</v>
      </c>
      <c r="V28" s="34">
        <f t="shared" si="19"/>
        <v>1.2685755333395672</v>
      </c>
      <c r="W28" s="34">
        <f t="shared" si="19"/>
        <v>1.2673287977982832</v>
      </c>
      <c r="X28" s="34">
        <f t="shared" si="19"/>
        <v>1.2660930884560599</v>
      </c>
      <c r="Y28" s="34">
        <f t="shared" si="19"/>
        <v>1.2648682982330395</v>
      </c>
      <c r="Z28" s="34">
        <f t="shared" si="19"/>
        <v>1.2636543212582723</v>
      </c>
      <c r="AA28" s="34">
        <f t="shared" si="19"/>
        <v>1.2622642255193766</v>
      </c>
      <c r="AB28" s="34">
        <f t="shared" si="19"/>
        <v>1.2608884311160862</v>
      </c>
      <c r="AC28" s="34">
        <f t="shared" si="19"/>
        <v>1.2595267813404858</v>
      </c>
      <c r="AD28" s="34">
        <f t="shared" si="19"/>
        <v>1.2581791213511919</v>
      </c>
      <c r="AE28" s="34">
        <f t="shared" si="19"/>
        <v>1.2568452981487361</v>
      </c>
      <c r="AF28" s="34">
        <f t="shared" si="19"/>
        <v>1.2555251605513142</v>
      </c>
      <c r="AG28" s="34">
        <f t="shared" si="19"/>
        <v>1.2542185591708923</v>
      </c>
      <c r="AH28" s="44">
        <f t="shared" si="19"/>
        <v>1.2531234751660605</v>
      </c>
    </row>
    <row r="29" spans="1:35" x14ac:dyDescent="0.25">
      <c r="C29"/>
    </row>
    <row r="30" spans="1:35" x14ac:dyDescent="0.25">
      <c r="A30" t="s">
        <v>34</v>
      </c>
      <c r="C30" s="35">
        <f>D18-K18</f>
        <v>567177.46640584525</v>
      </c>
      <c r="K30" s="1"/>
    </row>
    <row r="31" spans="1:35" x14ac:dyDescent="0.25">
      <c r="C31" s="70"/>
      <c r="J31">
        <f>J15*J28</f>
        <v>4590869.5767648462</v>
      </c>
    </row>
  </sheetData>
  <dataConsolidate/>
  <mergeCells count="4">
    <mergeCell ref="B7:C7"/>
    <mergeCell ref="B2:C2"/>
    <mergeCell ref="B16:AH16"/>
    <mergeCell ref="A7:A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J23"/>
  <sheetViews>
    <sheetView tabSelected="1" zoomScale="80" zoomScaleNormal="80" workbookViewId="0">
      <selection activeCell="AO16" sqref="AO16"/>
    </sheetView>
  </sheetViews>
  <sheetFormatPr defaultRowHeight="15" outlineLevelCol="1" x14ac:dyDescent="0.25"/>
  <cols>
    <col min="1" max="1" width="15.28515625" customWidth="1"/>
    <col min="2" max="2" width="5" customWidth="1"/>
    <col min="3" max="3" width="3.85546875" customWidth="1"/>
    <col min="4" max="4" width="31.140625" customWidth="1"/>
    <col min="5" max="5" width="8.85546875" style="83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99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Sfantu Gheorghe</v>
      </c>
      <c r="C2" s="216"/>
      <c r="D2" s="216"/>
      <c r="E2" s="94" t="s">
        <v>64</v>
      </c>
      <c r="F2" s="16">
        <v>2018</v>
      </c>
      <c r="G2" s="16">
        <v>2019</v>
      </c>
      <c r="H2" s="16">
        <v>2020</v>
      </c>
      <c r="I2" s="16">
        <v>2021</v>
      </c>
      <c r="J2" s="16">
        <v>2022</v>
      </c>
      <c r="K2" s="16">
        <v>2023</v>
      </c>
      <c r="L2" s="16">
        <v>2024</v>
      </c>
      <c r="M2" s="16">
        <v>2025</v>
      </c>
      <c r="N2" s="16">
        <v>2026</v>
      </c>
      <c r="O2" s="16">
        <v>2027</v>
      </c>
      <c r="P2" s="16">
        <v>2028</v>
      </c>
      <c r="Q2" s="16">
        <v>2029</v>
      </c>
      <c r="R2" s="16">
        <v>2030</v>
      </c>
      <c r="S2" s="16">
        <v>2031</v>
      </c>
      <c r="T2" s="16">
        <v>2032</v>
      </c>
      <c r="U2" s="16">
        <v>2033</v>
      </c>
      <c r="V2" s="16">
        <v>2034</v>
      </c>
      <c r="W2" s="16">
        <v>2035</v>
      </c>
      <c r="X2" s="16">
        <v>2036</v>
      </c>
      <c r="Y2" s="16">
        <v>2037</v>
      </c>
      <c r="Z2" s="16">
        <v>2038</v>
      </c>
      <c r="AA2" s="16">
        <v>2039</v>
      </c>
      <c r="AB2" s="16">
        <v>2040</v>
      </c>
      <c r="AC2" s="16">
        <v>2041</v>
      </c>
      <c r="AD2" s="16">
        <v>2042</v>
      </c>
      <c r="AE2" s="16">
        <v>2043</v>
      </c>
      <c r="AF2" s="16">
        <v>2044</v>
      </c>
      <c r="AG2" s="16">
        <v>2045</v>
      </c>
      <c r="AH2" s="16">
        <v>2046</v>
      </c>
      <c r="AI2" s="16">
        <v>2047</v>
      </c>
      <c r="AJ2" s="95">
        <v>2048</v>
      </c>
    </row>
    <row r="3" spans="1:36" ht="15.75" thickBot="1" x14ac:dyDescent="0.3">
      <c r="A3" s="210"/>
      <c r="B3" s="164" t="s">
        <v>22</v>
      </c>
      <c r="C3" s="163" t="s">
        <v>47</v>
      </c>
      <c r="D3" s="184"/>
      <c r="E3" s="185" t="s">
        <v>17</v>
      </c>
      <c r="F3" s="178">
        <f>F4+F8</f>
        <v>4163458</v>
      </c>
      <c r="G3" s="136">
        <f>G4+G8</f>
        <v>4153599.013447925</v>
      </c>
      <c r="H3" s="136">
        <f t="shared" ref="H3:AJ3" si="0">H4+H8</f>
        <v>4247152.8694132697</v>
      </c>
      <c r="I3" s="136">
        <f t="shared" si="0"/>
        <v>4359150.8341439795</v>
      </c>
      <c r="J3" s="136">
        <f t="shared" si="0"/>
        <v>4484282.5489568189</v>
      </c>
      <c r="K3" s="136">
        <f t="shared" si="0"/>
        <v>4616673.3445769064</v>
      </c>
      <c r="L3" s="136">
        <f t="shared" si="0"/>
        <v>4590869.5767648462</v>
      </c>
      <c r="M3" s="136">
        <f t="shared" si="0"/>
        <v>4555182.3240986168</v>
      </c>
      <c r="N3" s="136">
        <f t="shared" si="0"/>
        <v>4519853.9217082718</v>
      </c>
      <c r="O3" s="136">
        <f t="shared" si="0"/>
        <v>4484881.0893142493</v>
      </c>
      <c r="P3" s="136">
        <f t="shared" si="0"/>
        <v>4450260.5751795582</v>
      </c>
      <c r="Q3" s="136">
        <f t="shared" si="0"/>
        <v>4415989.1558678932</v>
      </c>
      <c r="R3" s="136">
        <f t="shared" si="0"/>
        <v>4382063.6360037606</v>
      </c>
      <c r="S3" s="136">
        <f t="shared" si="0"/>
        <v>4350775.3835764788</v>
      </c>
      <c r="T3" s="136">
        <f t="shared" si="0"/>
        <v>4339953.1772672841</v>
      </c>
      <c r="U3" s="136">
        <f t="shared" si="0"/>
        <v>4329180.0389030697</v>
      </c>
      <c r="V3" s="136">
        <f t="shared" si="0"/>
        <v>4318455.6620491873</v>
      </c>
      <c r="W3" s="136">
        <f t="shared" si="0"/>
        <v>4307779.7431462705</v>
      </c>
      <c r="X3" s="136">
        <f t="shared" si="0"/>
        <v>4297151.9814777123</v>
      </c>
      <c r="Y3" s="136">
        <f t="shared" si="0"/>
        <v>4286572.0791375088</v>
      </c>
      <c r="Z3" s="136">
        <f t="shared" si="0"/>
        <v>4276039.7409984851</v>
      </c>
      <c r="AA3" s="136">
        <f t="shared" si="0"/>
        <v>4265554.6746808821</v>
      </c>
      <c r="AB3" s="136">
        <f t="shared" si="0"/>
        <v>4255116.5905212946</v>
      </c>
      <c r="AC3" s="136">
        <f t="shared" si="0"/>
        <v>4249768.1847980907</v>
      </c>
      <c r="AD3" s="136">
        <f t="shared" si="0"/>
        <v>4244450.5931933075</v>
      </c>
      <c r="AE3" s="136">
        <f t="shared" si="0"/>
        <v>4239163.4527456537</v>
      </c>
      <c r="AF3" s="136">
        <f t="shared" si="0"/>
        <v>4233906.4047019677</v>
      </c>
      <c r="AG3" s="136">
        <f t="shared" si="0"/>
        <v>4228679.094472006</v>
      </c>
      <c r="AH3" s="136">
        <f t="shared" si="0"/>
        <v>4223481.1715836991</v>
      </c>
      <c r="AI3" s="136">
        <f t="shared" si="0"/>
        <v>4218312.2896388751</v>
      </c>
      <c r="AJ3" s="177">
        <f t="shared" si="0"/>
        <v>4207449.3224600824</v>
      </c>
    </row>
    <row r="4" spans="1:36" x14ac:dyDescent="0.25">
      <c r="A4" s="210"/>
      <c r="B4" s="105" t="s">
        <v>66</v>
      </c>
      <c r="C4" s="212" t="s">
        <v>44</v>
      </c>
      <c r="D4" s="187" t="s">
        <v>57</v>
      </c>
      <c r="E4" s="188" t="s">
        <v>17</v>
      </c>
      <c r="F4" s="189">
        <f>'[1]Water Balance m3year'!$AY$8</f>
        <v>2899654</v>
      </c>
      <c r="G4" s="193">
        <f>G5</f>
        <v>2992449.8824210716</v>
      </c>
      <c r="H4" s="193">
        <f t="shared" ref="H4:AJ4" si="1">H5</f>
        <v>3094913.432774689</v>
      </c>
      <c r="I4" s="194">
        <f t="shared" si="1"/>
        <v>3215344.4020032869</v>
      </c>
      <c r="J4" s="194">
        <f t="shared" si="1"/>
        <v>3348539.7166744485</v>
      </c>
      <c r="K4" s="194">
        <f t="shared" si="1"/>
        <v>3488743.2681951667</v>
      </c>
      <c r="L4" s="193">
        <f t="shared" si="1"/>
        <v>3592534.272640639</v>
      </c>
      <c r="M4" s="195">
        <f t="shared" si="1"/>
        <v>3565715.306495497</v>
      </c>
      <c r="N4" s="193">
        <f t="shared" si="1"/>
        <v>3539166.2920065681</v>
      </c>
      <c r="O4" s="195">
        <f t="shared" si="1"/>
        <v>3512884.8042561375</v>
      </c>
      <c r="P4" s="193">
        <f t="shared" si="1"/>
        <v>3486868.4387801965</v>
      </c>
      <c r="Q4" s="193">
        <f t="shared" si="1"/>
        <v>3461114.8114026925</v>
      </c>
      <c r="R4" s="193">
        <f t="shared" si="1"/>
        <v>3435621.5580710797</v>
      </c>
      <c r="S4" s="193">
        <f t="shared" si="1"/>
        <v>3412430.5572668239</v>
      </c>
      <c r="T4" s="193">
        <f t="shared" si="1"/>
        <v>3407426.1031269184</v>
      </c>
      <c r="U4" s="193">
        <f t="shared" si="1"/>
        <v>3402418.9925868213</v>
      </c>
      <c r="V4" s="193">
        <f t="shared" si="1"/>
        <v>3397409.4163559028</v>
      </c>
      <c r="W4" s="193">
        <f t="shared" si="1"/>
        <v>3392397.5630680025</v>
      </c>
      <c r="X4" s="193">
        <f t="shared" si="1"/>
        <v>3387383.6192988185</v>
      </c>
      <c r="Y4" s="193">
        <f t="shared" si="1"/>
        <v>3382367.7695831782</v>
      </c>
      <c r="Z4" s="193">
        <f t="shared" si="1"/>
        <v>3377350.1964321686</v>
      </c>
      <c r="AA4" s="193">
        <f t="shared" si="1"/>
        <v>3372331.0803501504</v>
      </c>
      <c r="AB4" s="193">
        <f t="shared" si="1"/>
        <v>3367310.5998516283</v>
      </c>
      <c r="AC4" s="193">
        <f t="shared" si="1"/>
        <v>3366781.7711061747</v>
      </c>
      <c r="AD4" s="193">
        <f t="shared" si="1"/>
        <v>3366238.0337935975</v>
      </c>
      <c r="AE4" s="193">
        <f t="shared" si="1"/>
        <v>3365679.4881598377</v>
      </c>
      <c r="AF4" s="193">
        <f t="shared" si="1"/>
        <v>3365106.2339637806</v>
      </c>
      <c r="AG4" s="193">
        <f t="shared" si="1"/>
        <v>3364518.3704793397</v>
      </c>
      <c r="AH4" s="193">
        <f t="shared" si="1"/>
        <v>3363915.9964975333</v>
      </c>
      <c r="AI4" s="193">
        <f t="shared" si="1"/>
        <v>3363299.210328551</v>
      </c>
      <c r="AJ4" s="196">
        <f t="shared" si="1"/>
        <v>3357569.6296827598</v>
      </c>
    </row>
    <row r="5" spans="1:36" x14ac:dyDescent="0.25">
      <c r="A5" s="210"/>
      <c r="B5" s="106" t="s">
        <v>67</v>
      </c>
      <c r="C5" s="213"/>
      <c r="D5" s="100" t="s">
        <v>46</v>
      </c>
      <c r="E5" s="93" t="s">
        <v>17</v>
      </c>
      <c r="F5" s="179">
        <f>'[1]Water Balance m3year'!$T$8</f>
        <v>2899654</v>
      </c>
      <c r="G5" s="91">
        <f>G6+G7</f>
        <v>2992449.8824210716</v>
      </c>
      <c r="H5" s="91">
        <f t="shared" ref="H5:AJ5" si="2">H6+H7</f>
        <v>3094913.432774689</v>
      </c>
      <c r="I5" s="91">
        <f t="shared" si="2"/>
        <v>3215344.4020032869</v>
      </c>
      <c r="J5" s="91">
        <f t="shared" si="2"/>
        <v>3348539.7166744485</v>
      </c>
      <c r="K5" s="91">
        <f t="shared" si="2"/>
        <v>3488743.2681951667</v>
      </c>
      <c r="L5" s="109">
        <f t="shared" si="2"/>
        <v>3592534.272640639</v>
      </c>
      <c r="M5" s="110">
        <f t="shared" si="2"/>
        <v>3565715.306495497</v>
      </c>
      <c r="N5" s="110">
        <f t="shared" si="2"/>
        <v>3539166.2920065681</v>
      </c>
      <c r="O5" s="110">
        <f t="shared" si="2"/>
        <v>3512884.8042561375</v>
      </c>
      <c r="P5" s="110">
        <f t="shared" si="2"/>
        <v>3486868.4387801965</v>
      </c>
      <c r="Q5" s="110">
        <f t="shared" si="2"/>
        <v>3461114.8114026925</v>
      </c>
      <c r="R5" s="110">
        <f t="shared" si="2"/>
        <v>3435621.5580710797</v>
      </c>
      <c r="S5" s="110">
        <f t="shared" si="2"/>
        <v>3412430.5572668239</v>
      </c>
      <c r="T5" s="110">
        <f t="shared" si="2"/>
        <v>3407426.1031269184</v>
      </c>
      <c r="U5" s="110">
        <f t="shared" si="2"/>
        <v>3402418.9925868213</v>
      </c>
      <c r="V5" s="110">
        <f t="shared" si="2"/>
        <v>3397409.4163559028</v>
      </c>
      <c r="W5" s="110">
        <f t="shared" si="2"/>
        <v>3392397.5630680025</v>
      </c>
      <c r="X5" s="110">
        <f t="shared" si="2"/>
        <v>3387383.6192988185</v>
      </c>
      <c r="Y5" s="110">
        <f t="shared" si="2"/>
        <v>3382367.7695831782</v>
      </c>
      <c r="Z5" s="110">
        <f t="shared" si="2"/>
        <v>3377350.1964321686</v>
      </c>
      <c r="AA5" s="110">
        <f t="shared" si="2"/>
        <v>3372331.0803501504</v>
      </c>
      <c r="AB5" s="110">
        <f t="shared" si="2"/>
        <v>3367310.5998516283</v>
      </c>
      <c r="AC5" s="110">
        <f t="shared" si="2"/>
        <v>3366781.7711061747</v>
      </c>
      <c r="AD5" s="110">
        <f t="shared" si="2"/>
        <v>3366238.0337935975</v>
      </c>
      <c r="AE5" s="110">
        <f t="shared" si="2"/>
        <v>3365679.4881598377</v>
      </c>
      <c r="AF5" s="110">
        <f t="shared" si="2"/>
        <v>3365106.2339637806</v>
      </c>
      <c r="AG5" s="110">
        <f t="shared" si="2"/>
        <v>3364518.3704793397</v>
      </c>
      <c r="AH5" s="110">
        <f t="shared" si="2"/>
        <v>3363915.9964975333</v>
      </c>
      <c r="AI5" s="110">
        <f t="shared" si="2"/>
        <v>3363299.210328551</v>
      </c>
      <c r="AJ5" s="111">
        <f t="shared" si="2"/>
        <v>3357569.6296827598</v>
      </c>
    </row>
    <row r="6" spans="1:36" x14ac:dyDescent="0.25">
      <c r="A6" s="210"/>
      <c r="B6" s="106" t="s">
        <v>68</v>
      </c>
      <c r="C6" s="213"/>
      <c r="D6" s="101" t="s">
        <v>45</v>
      </c>
      <c r="E6" s="26" t="s">
        <v>17</v>
      </c>
      <c r="F6" s="180">
        <f>'[1]Water Balance m3year'!$AC$4</f>
        <v>2899654</v>
      </c>
      <c r="G6" s="3">
        <f>'Prognoza Apa'!E15</f>
        <v>2992449.8824210716</v>
      </c>
      <c r="H6" s="3">
        <f>'Prognoza Apa'!F15</f>
        <v>3094913.432774689</v>
      </c>
      <c r="I6" s="3">
        <f>'Prognoza Apa'!G15</f>
        <v>3215344.4020032869</v>
      </c>
      <c r="J6" s="3">
        <f>'Prognoza Apa'!H15</f>
        <v>3348539.7166744485</v>
      </c>
      <c r="K6" s="3">
        <f>'Prognoza Apa'!I15</f>
        <v>3488743.2681951667</v>
      </c>
      <c r="L6" s="112">
        <f>'Prognoza Apa'!J15</f>
        <v>3592534.272640639</v>
      </c>
      <c r="M6" s="113">
        <f>'Prognoza Apa'!K15</f>
        <v>3565715.306495497</v>
      </c>
      <c r="N6" s="112">
        <f>'Prognoza Apa'!L15</f>
        <v>3539166.2920065681</v>
      </c>
      <c r="O6" s="112">
        <f>'Prognoza Apa'!M15</f>
        <v>3512884.8042561375</v>
      </c>
      <c r="P6" s="112">
        <f>'Prognoza Apa'!N15</f>
        <v>3486868.4387801965</v>
      </c>
      <c r="Q6" s="112">
        <f>'Prognoza Apa'!O15</f>
        <v>3461114.8114026925</v>
      </c>
      <c r="R6" s="112">
        <f>'Prognoza Apa'!P15</f>
        <v>3435621.5580710797</v>
      </c>
      <c r="S6" s="112">
        <f>'Prognoza Apa'!Q15</f>
        <v>3412430.5572668239</v>
      </c>
      <c r="T6" s="113">
        <f>'Prognoza Apa'!R15</f>
        <v>3407426.1031269184</v>
      </c>
      <c r="U6" s="112">
        <f>'Prognoza Apa'!S15</f>
        <v>3402418.9925868213</v>
      </c>
      <c r="V6" s="112">
        <f>'Prognoza Apa'!T15</f>
        <v>3397409.4163559028</v>
      </c>
      <c r="W6" s="112">
        <f>'Prognoza Apa'!U15</f>
        <v>3392397.5630680025</v>
      </c>
      <c r="X6" s="112">
        <f>'Prognoza Apa'!V15</f>
        <v>3387383.6192988185</v>
      </c>
      <c r="Y6" s="112">
        <f>'Prognoza Apa'!W15</f>
        <v>3382367.7695831782</v>
      </c>
      <c r="Z6" s="112">
        <f>'Prognoza Apa'!X15</f>
        <v>3377350.1964321686</v>
      </c>
      <c r="AA6" s="112">
        <f>'Prognoza Apa'!Y15</f>
        <v>3372331.0803501504</v>
      </c>
      <c r="AB6" s="112">
        <f>'Prognoza Apa'!Z15</f>
        <v>3367310.5998516283</v>
      </c>
      <c r="AC6" s="112">
        <f>'Prognoza Apa'!AA15</f>
        <v>3366781.7711061747</v>
      </c>
      <c r="AD6" s="112">
        <f>'Prognoza Apa'!AB15</f>
        <v>3366238.0337935975</v>
      </c>
      <c r="AE6" s="112">
        <f>'Prognoza Apa'!AC15</f>
        <v>3365679.4881598377</v>
      </c>
      <c r="AF6" s="112">
        <f>'Prognoza Apa'!AD15</f>
        <v>3365106.2339637806</v>
      </c>
      <c r="AG6" s="112">
        <f>'Prognoza Apa'!AE15</f>
        <v>3364518.3704793397</v>
      </c>
      <c r="AH6" s="112">
        <f>'Prognoza Apa'!AF15</f>
        <v>3363915.9964975333</v>
      </c>
      <c r="AI6" s="112">
        <f>'Prognoza Apa'!AG15</f>
        <v>3363299.210328551</v>
      </c>
      <c r="AJ6" s="114">
        <f>'Prognoza Apa'!AH15</f>
        <v>3357569.6296827598</v>
      </c>
    </row>
    <row r="7" spans="1:36" ht="15.75" thickBot="1" x14ac:dyDescent="0.3">
      <c r="A7" s="210"/>
      <c r="B7" s="106" t="s">
        <v>69</v>
      </c>
      <c r="C7" s="213"/>
      <c r="D7" s="101" t="s">
        <v>51</v>
      </c>
      <c r="E7" s="26" t="s">
        <v>17</v>
      </c>
      <c r="F7" s="180">
        <f>'[1]Water Balance m3year'!$AC$9</f>
        <v>0</v>
      </c>
      <c r="G7" s="97">
        <v>0</v>
      </c>
      <c r="H7" s="97">
        <f t="shared" ref="H7:AJ7" si="3">G7</f>
        <v>0</v>
      </c>
      <c r="I7" s="97">
        <f t="shared" si="3"/>
        <v>0</v>
      </c>
      <c r="J7" s="97">
        <f t="shared" si="3"/>
        <v>0</v>
      </c>
      <c r="K7" s="97">
        <f t="shared" si="3"/>
        <v>0</v>
      </c>
      <c r="L7" s="115">
        <f t="shared" si="3"/>
        <v>0</v>
      </c>
      <c r="M7" s="116">
        <f t="shared" si="3"/>
        <v>0</v>
      </c>
      <c r="N7" s="116">
        <f t="shared" si="3"/>
        <v>0</v>
      </c>
      <c r="O7" s="116">
        <f t="shared" si="3"/>
        <v>0</v>
      </c>
      <c r="P7" s="116">
        <f t="shared" si="3"/>
        <v>0</v>
      </c>
      <c r="Q7" s="116">
        <f t="shared" si="3"/>
        <v>0</v>
      </c>
      <c r="R7" s="116">
        <f t="shared" si="3"/>
        <v>0</v>
      </c>
      <c r="S7" s="116">
        <f t="shared" si="3"/>
        <v>0</v>
      </c>
      <c r="T7" s="116">
        <f t="shared" si="3"/>
        <v>0</v>
      </c>
      <c r="U7" s="116">
        <f t="shared" si="3"/>
        <v>0</v>
      </c>
      <c r="V7" s="116">
        <f t="shared" si="3"/>
        <v>0</v>
      </c>
      <c r="W7" s="116">
        <f t="shared" si="3"/>
        <v>0</v>
      </c>
      <c r="X7" s="116">
        <f t="shared" si="3"/>
        <v>0</v>
      </c>
      <c r="Y7" s="116">
        <f t="shared" si="3"/>
        <v>0</v>
      </c>
      <c r="Z7" s="116">
        <f t="shared" si="3"/>
        <v>0</v>
      </c>
      <c r="AA7" s="116">
        <f t="shared" si="3"/>
        <v>0</v>
      </c>
      <c r="AB7" s="116">
        <f t="shared" si="3"/>
        <v>0</v>
      </c>
      <c r="AC7" s="116">
        <f t="shared" si="3"/>
        <v>0</v>
      </c>
      <c r="AD7" s="116">
        <f t="shared" si="3"/>
        <v>0</v>
      </c>
      <c r="AE7" s="116">
        <f t="shared" si="3"/>
        <v>0</v>
      </c>
      <c r="AF7" s="116">
        <f t="shared" si="3"/>
        <v>0</v>
      </c>
      <c r="AG7" s="116">
        <f t="shared" si="3"/>
        <v>0</v>
      </c>
      <c r="AH7" s="116">
        <f t="shared" si="3"/>
        <v>0</v>
      </c>
      <c r="AI7" s="116">
        <f t="shared" si="3"/>
        <v>0</v>
      </c>
      <c r="AJ7" s="117">
        <f t="shared" si="3"/>
        <v>0</v>
      </c>
    </row>
    <row r="8" spans="1:36" x14ac:dyDescent="0.25">
      <c r="A8" s="210"/>
      <c r="B8" s="107" t="s">
        <v>1</v>
      </c>
      <c r="C8" s="213"/>
      <c r="D8" s="187" t="s">
        <v>58</v>
      </c>
      <c r="E8" s="188" t="s">
        <v>17</v>
      </c>
      <c r="F8" s="189">
        <f>'[1]Water Balance m3year'!$AY$24</f>
        <v>1263804</v>
      </c>
      <c r="G8" s="190">
        <f>G12+G15+G9</f>
        <v>1161149.1310268533</v>
      </c>
      <c r="H8" s="190">
        <f t="shared" ref="H8:AJ8" si="4">H12+H15+H9</f>
        <v>1152239.4366385811</v>
      </c>
      <c r="I8" s="190">
        <f t="shared" si="4"/>
        <v>1143806.4321406921</v>
      </c>
      <c r="J8" s="190">
        <f t="shared" si="4"/>
        <v>1135742.8322823709</v>
      </c>
      <c r="K8" s="190">
        <f t="shared" si="4"/>
        <v>1127930.0763817402</v>
      </c>
      <c r="L8" s="191">
        <f t="shared" si="4"/>
        <v>998335.30412420712</v>
      </c>
      <c r="M8" s="191">
        <f t="shared" si="4"/>
        <v>989467.01760311995</v>
      </c>
      <c r="N8" s="191">
        <f t="shared" si="4"/>
        <v>980687.62970170414</v>
      </c>
      <c r="O8" s="191">
        <f t="shared" si="4"/>
        <v>971996.28505811188</v>
      </c>
      <c r="P8" s="191">
        <f t="shared" si="4"/>
        <v>963392.13639936177</v>
      </c>
      <c r="Q8" s="191">
        <f t="shared" si="4"/>
        <v>954874.34446520056</v>
      </c>
      <c r="R8" s="191">
        <f t="shared" si="4"/>
        <v>946442.07793268096</v>
      </c>
      <c r="S8" s="191">
        <f t="shared" si="4"/>
        <v>938344.82630965463</v>
      </c>
      <c r="T8" s="191">
        <f t="shared" si="4"/>
        <v>932527.07414036593</v>
      </c>
      <c r="U8" s="191">
        <f t="shared" si="4"/>
        <v>926761.04631624848</v>
      </c>
      <c r="V8" s="191">
        <f t="shared" si="4"/>
        <v>921046.24569328409</v>
      </c>
      <c r="W8" s="191">
        <f t="shared" si="4"/>
        <v>915382.18007826852</v>
      </c>
      <c r="X8" s="191">
        <f t="shared" si="4"/>
        <v>909768.36217889353</v>
      </c>
      <c r="Y8" s="191">
        <f t="shared" si="4"/>
        <v>904204.30955433077</v>
      </c>
      <c r="Z8" s="191">
        <f t="shared" si="4"/>
        <v>898689.54456631676</v>
      </c>
      <c r="AA8" s="191">
        <f t="shared" si="4"/>
        <v>893223.59433073155</v>
      </c>
      <c r="AB8" s="191">
        <f t="shared" si="4"/>
        <v>887805.99066966656</v>
      </c>
      <c r="AC8" s="191">
        <f t="shared" si="4"/>
        <v>882986.41369191639</v>
      </c>
      <c r="AD8" s="191">
        <f t="shared" si="4"/>
        <v>878212.55939970957</v>
      </c>
      <c r="AE8" s="191">
        <f t="shared" si="4"/>
        <v>873483.96458581567</v>
      </c>
      <c r="AF8" s="191">
        <f t="shared" si="4"/>
        <v>868800.17073818704</v>
      </c>
      <c r="AG8" s="191">
        <f t="shared" si="4"/>
        <v>864160.723992666</v>
      </c>
      <c r="AH8" s="191">
        <f t="shared" si="4"/>
        <v>859565.17508616624</v>
      </c>
      <c r="AI8" s="191">
        <f t="shared" si="4"/>
        <v>855013.07931032428</v>
      </c>
      <c r="AJ8" s="192">
        <f t="shared" si="4"/>
        <v>849879.69277732237</v>
      </c>
    </row>
    <row r="9" spans="1:36" x14ac:dyDescent="0.25">
      <c r="A9" s="210"/>
      <c r="B9" s="106" t="s">
        <v>70</v>
      </c>
      <c r="C9" s="213"/>
      <c r="D9" s="103" t="s">
        <v>48</v>
      </c>
      <c r="E9" s="93" t="s">
        <v>18</v>
      </c>
      <c r="F9" s="182">
        <f>'[1]Water Balance m3year'!$T$16</f>
        <v>121267</v>
      </c>
      <c r="G9" s="91">
        <f>G10+G11</f>
        <v>120054.32999999999</v>
      </c>
      <c r="H9" s="91">
        <f t="shared" ref="H9:AJ9" si="5">H10+H11</f>
        <v>118853.78669999998</v>
      </c>
      <c r="I9" s="91">
        <f t="shared" si="5"/>
        <v>117665.24883299999</v>
      </c>
      <c r="J9" s="91">
        <f t="shared" si="5"/>
        <v>116488.59634466999</v>
      </c>
      <c r="K9" s="91">
        <f t="shared" si="5"/>
        <v>115323.71038122328</v>
      </c>
      <c r="L9" s="109">
        <f t="shared" si="5"/>
        <v>417351.77970589511</v>
      </c>
      <c r="M9" s="110">
        <f t="shared" si="5"/>
        <v>414107.4840089652</v>
      </c>
      <c r="N9" s="110">
        <f t="shared" si="5"/>
        <v>410895.81106438837</v>
      </c>
      <c r="O9" s="110">
        <f t="shared" si="5"/>
        <v>407716.46266493178</v>
      </c>
      <c r="P9" s="110">
        <f t="shared" si="5"/>
        <v>404569.14319814165</v>
      </c>
      <c r="Q9" s="110">
        <f t="shared" si="5"/>
        <v>401453.55962435389</v>
      </c>
      <c r="R9" s="110">
        <f t="shared" si="5"/>
        <v>398369.42145488731</v>
      </c>
      <c r="S9" s="110">
        <f t="shared" si="5"/>
        <v>395525.03487058898</v>
      </c>
      <c r="T9" s="110">
        <f t="shared" si="5"/>
        <v>394541.19793338951</v>
      </c>
      <c r="U9" s="110">
        <f t="shared" si="5"/>
        <v>393561.82171846088</v>
      </c>
      <c r="V9" s="110">
        <f t="shared" si="5"/>
        <v>392586.87836810789</v>
      </c>
      <c r="W9" s="110">
        <f t="shared" si="5"/>
        <v>391616.34028602461</v>
      </c>
      <c r="X9" s="110">
        <f t="shared" si="5"/>
        <v>390650.18013433751</v>
      </c>
      <c r="Y9" s="110">
        <f t="shared" si="5"/>
        <v>389688.37083068263</v>
      </c>
      <c r="Z9" s="110">
        <f t="shared" si="5"/>
        <v>388730.88554531685</v>
      </c>
      <c r="AA9" s="110">
        <f t="shared" si="5"/>
        <v>387777.69769826205</v>
      </c>
      <c r="AB9" s="110">
        <f t="shared" si="5"/>
        <v>386828.78095648135</v>
      </c>
      <c r="AC9" s="110">
        <f t="shared" si="5"/>
        <v>386342.56225437194</v>
      </c>
      <c r="AD9" s="110">
        <f t="shared" si="5"/>
        <v>385859.14483575523</v>
      </c>
      <c r="AE9" s="110">
        <f t="shared" si="5"/>
        <v>385378.49570415035</v>
      </c>
      <c r="AF9" s="110">
        <f t="shared" si="5"/>
        <v>384900.58224563347</v>
      </c>
      <c r="AG9" s="110">
        <f t="shared" si="5"/>
        <v>384425.37222472782</v>
      </c>
      <c r="AH9" s="110">
        <f t="shared" si="5"/>
        <v>383952.83378033631</v>
      </c>
      <c r="AI9" s="110">
        <f t="shared" si="5"/>
        <v>383482.93542171596</v>
      </c>
      <c r="AJ9" s="186">
        <f t="shared" si="5"/>
        <v>382495.3929509166</v>
      </c>
    </row>
    <row r="10" spans="1:36" x14ac:dyDescent="0.25">
      <c r="A10" s="210"/>
      <c r="B10" s="106" t="s">
        <v>71</v>
      </c>
      <c r="C10" s="213"/>
      <c r="D10" s="101" t="s">
        <v>49</v>
      </c>
      <c r="E10" s="26" t="s">
        <v>18</v>
      </c>
      <c r="F10" s="180">
        <f>'[1]Water Balance m3year'!$AC$14</f>
        <v>0</v>
      </c>
      <c r="G10" s="69">
        <f>F10</f>
        <v>0</v>
      </c>
      <c r="H10" s="69">
        <f t="shared" ref="H10:AJ10" si="6">G10</f>
        <v>0</v>
      </c>
      <c r="I10" s="69">
        <f t="shared" si="6"/>
        <v>0</v>
      </c>
      <c r="J10" s="69">
        <f t="shared" si="6"/>
        <v>0</v>
      </c>
      <c r="K10" s="69">
        <f t="shared" si="6"/>
        <v>0</v>
      </c>
      <c r="L10" s="118">
        <f t="shared" si="6"/>
        <v>0</v>
      </c>
      <c r="M10" s="119">
        <f t="shared" si="6"/>
        <v>0</v>
      </c>
      <c r="N10" s="119">
        <f t="shared" si="6"/>
        <v>0</v>
      </c>
      <c r="O10" s="119">
        <f t="shared" si="6"/>
        <v>0</v>
      </c>
      <c r="P10" s="119">
        <f t="shared" si="6"/>
        <v>0</v>
      </c>
      <c r="Q10" s="119">
        <f t="shared" si="6"/>
        <v>0</v>
      </c>
      <c r="R10" s="119">
        <f t="shared" si="6"/>
        <v>0</v>
      </c>
      <c r="S10" s="119">
        <f t="shared" si="6"/>
        <v>0</v>
      </c>
      <c r="T10" s="119">
        <f t="shared" si="6"/>
        <v>0</v>
      </c>
      <c r="U10" s="119">
        <f t="shared" si="6"/>
        <v>0</v>
      </c>
      <c r="V10" s="119">
        <f t="shared" si="6"/>
        <v>0</v>
      </c>
      <c r="W10" s="119">
        <f t="shared" si="6"/>
        <v>0</v>
      </c>
      <c r="X10" s="119">
        <f t="shared" si="6"/>
        <v>0</v>
      </c>
      <c r="Y10" s="119">
        <f t="shared" si="6"/>
        <v>0</v>
      </c>
      <c r="Z10" s="119">
        <f t="shared" si="6"/>
        <v>0</v>
      </c>
      <c r="AA10" s="119">
        <f t="shared" si="6"/>
        <v>0</v>
      </c>
      <c r="AB10" s="119">
        <f t="shared" si="6"/>
        <v>0</v>
      </c>
      <c r="AC10" s="119">
        <f t="shared" si="6"/>
        <v>0</v>
      </c>
      <c r="AD10" s="119">
        <f t="shared" si="6"/>
        <v>0</v>
      </c>
      <c r="AE10" s="119">
        <f t="shared" si="6"/>
        <v>0</v>
      </c>
      <c r="AF10" s="119">
        <f t="shared" si="6"/>
        <v>0</v>
      </c>
      <c r="AG10" s="119">
        <f t="shared" si="6"/>
        <v>0</v>
      </c>
      <c r="AH10" s="119">
        <f t="shared" si="6"/>
        <v>0</v>
      </c>
      <c r="AI10" s="119">
        <f t="shared" si="6"/>
        <v>0</v>
      </c>
      <c r="AJ10" s="120">
        <f t="shared" si="6"/>
        <v>0</v>
      </c>
    </row>
    <row r="11" spans="1:36" ht="15.75" thickBot="1" x14ac:dyDescent="0.3">
      <c r="A11" s="210"/>
      <c r="B11" s="108" t="s">
        <v>72</v>
      </c>
      <c r="C11" s="214"/>
      <c r="D11" s="102" t="s">
        <v>50</v>
      </c>
      <c r="E11" s="25" t="s">
        <v>18</v>
      </c>
      <c r="F11" s="181">
        <f>'[1]Water Balance m3year'!$AC$19</f>
        <v>121267</v>
      </c>
      <c r="G11" s="92">
        <f>F11/F15*G15</f>
        <v>120054.32999999999</v>
      </c>
      <c r="H11" s="92">
        <f t="shared" ref="H11:K11" si="7">G11/G15*H15</f>
        <v>118853.78669999998</v>
      </c>
      <c r="I11" s="92">
        <f t="shared" si="7"/>
        <v>117665.24883299999</v>
      </c>
      <c r="J11" s="92">
        <f t="shared" si="7"/>
        <v>116488.59634466999</v>
      </c>
      <c r="K11" s="92">
        <f t="shared" si="7"/>
        <v>115323.71038122328</v>
      </c>
      <c r="L11" s="121">
        <f>0.1*(L5+L15+L12)</f>
        <v>417351.77970589511</v>
      </c>
      <c r="M11" s="122">
        <f t="shared" ref="M11:AJ11" si="8">0.1*(M5+M15+M12)</f>
        <v>414107.4840089652</v>
      </c>
      <c r="N11" s="122">
        <f t="shared" si="8"/>
        <v>410895.81106438837</v>
      </c>
      <c r="O11" s="122">
        <f t="shared" si="8"/>
        <v>407716.46266493178</v>
      </c>
      <c r="P11" s="122">
        <f t="shared" si="8"/>
        <v>404569.14319814165</v>
      </c>
      <c r="Q11" s="122">
        <f t="shared" si="8"/>
        <v>401453.55962435389</v>
      </c>
      <c r="R11" s="122">
        <f t="shared" si="8"/>
        <v>398369.42145488731</v>
      </c>
      <c r="S11" s="122">
        <f t="shared" si="8"/>
        <v>395525.03487058898</v>
      </c>
      <c r="T11" s="122">
        <f t="shared" si="8"/>
        <v>394541.19793338951</v>
      </c>
      <c r="U11" s="122">
        <f t="shared" si="8"/>
        <v>393561.82171846088</v>
      </c>
      <c r="V11" s="122">
        <f t="shared" si="8"/>
        <v>392586.87836810789</v>
      </c>
      <c r="W11" s="122">
        <f t="shared" si="8"/>
        <v>391616.34028602461</v>
      </c>
      <c r="X11" s="122">
        <f t="shared" si="8"/>
        <v>390650.18013433751</v>
      </c>
      <c r="Y11" s="122">
        <f t="shared" si="8"/>
        <v>389688.37083068263</v>
      </c>
      <c r="Z11" s="122">
        <f t="shared" si="8"/>
        <v>388730.88554531685</v>
      </c>
      <c r="AA11" s="122">
        <f t="shared" si="8"/>
        <v>387777.69769826205</v>
      </c>
      <c r="AB11" s="122">
        <f t="shared" si="8"/>
        <v>386828.78095648135</v>
      </c>
      <c r="AC11" s="122">
        <f t="shared" si="8"/>
        <v>386342.56225437194</v>
      </c>
      <c r="AD11" s="122">
        <f t="shared" si="8"/>
        <v>385859.14483575523</v>
      </c>
      <c r="AE11" s="122">
        <f t="shared" si="8"/>
        <v>385378.49570415035</v>
      </c>
      <c r="AF11" s="122">
        <f t="shared" si="8"/>
        <v>384900.58224563347</v>
      </c>
      <c r="AG11" s="122">
        <f t="shared" si="8"/>
        <v>384425.37222472782</v>
      </c>
      <c r="AH11" s="122">
        <f t="shared" si="8"/>
        <v>383952.83378033631</v>
      </c>
      <c r="AI11" s="122">
        <f t="shared" si="8"/>
        <v>383482.93542171596</v>
      </c>
      <c r="AJ11" s="123">
        <f t="shared" si="8"/>
        <v>382495.3929509166</v>
      </c>
    </row>
    <row r="12" spans="1:36" x14ac:dyDescent="0.25">
      <c r="A12" s="210"/>
      <c r="B12" s="106" t="s">
        <v>73</v>
      </c>
      <c r="C12" s="212" t="s">
        <v>65</v>
      </c>
      <c r="D12" s="103" t="s">
        <v>52</v>
      </c>
      <c r="E12" s="93" t="s">
        <v>18</v>
      </c>
      <c r="F12" s="182">
        <f>'[1]Water Balance m3year'!$T$26</f>
        <v>152613.36842105258</v>
      </c>
      <c r="G12" s="96">
        <f>G13+G14</f>
        <v>61070.405763695344</v>
      </c>
      <c r="H12" s="96">
        <f t="shared" ref="H12:AJ12" si="9">H13+H14</f>
        <v>63161.498628054876</v>
      </c>
      <c r="I12" s="96">
        <f t="shared" si="9"/>
        <v>65619.273510271159</v>
      </c>
      <c r="J12" s="96">
        <f t="shared" si="9"/>
        <v>68337.545238254053</v>
      </c>
      <c r="K12" s="96">
        <f t="shared" si="9"/>
        <v>71198.842208064627</v>
      </c>
      <c r="L12" s="124">
        <f t="shared" si="9"/>
        <v>73317.025972257936</v>
      </c>
      <c r="M12" s="124">
        <f t="shared" si="9"/>
        <v>72769.700132561164</v>
      </c>
      <c r="N12" s="124">
        <f t="shared" si="9"/>
        <v>72227.883510338128</v>
      </c>
      <c r="O12" s="124">
        <f t="shared" si="9"/>
        <v>71691.526617472191</v>
      </c>
      <c r="P12" s="124">
        <f t="shared" si="9"/>
        <v>71160.58038326932</v>
      </c>
      <c r="Q12" s="124">
        <f t="shared" si="9"/>
        <v>70634.996151075349</v>
      </c>
      <c r="R12" s="124">
        <f t="shared" si="9"/>
        <v>70114.725674920002</v>
      </c>
      <c r="S12" s="124">
        <f t="shared" si="9"/>
        <v>69641.439944220911</v>
      </c>
      <c r="T12" s="124">
        <f t="shared" si="9"/>
        <v>69539.308227079964</v>
      </c>
      <c r="U12" s="124">
        <f t="shared" si="9"/>
        <v>69437.122297690235</v>
      </c>
      <c r="V12" s="124">
        <f t="shared" si="9"/>
        <v>69334.886048079657</v>
      </c>
      <c r="W12" s="124">
        <f t="shared" si="9"/>
        <v>69232.603327918419</v>
      </c>
      <c r="X12" s="124">
        <f t="shared" si="9"/>
        <v>69130.277944873858</v>
      </c>
      <c r="Y12" s="124">
        <f t="shared" si="9"/>
        <v>69027.913664962834</v>
      </c>
      <c r="Z12" s="124">
        <f t="shared" si="9"/>
        <v>68925.514212901398</v>
      </c>
      <c r="AA12" s="124">
        <f t="shared" si="9"/>
        <v>68823.083272452044</v>
      </c>
      <c r="AB12" s="124">
        <f t="shared" si="9"/>
        <v>68720.624486767934</v>
      </c>
      <c r="AC12" s="124">
        <f t="shared" si="9"/>
        <v>68709.832063391324</v>
      </c>
      <c r="AD12" s="124">
        <f t="shared" si="9"/>
        <v>68698.735383542808</v>
      </c>
      <c r="AE12" s="124">
        <f t="shared" si="9"/>
        <v>68687.336493057912</v>
      </c>
      <c r="AF12" s="124">
        <f t="shared" si="9"/>
        <v>68675.637427832262</v>
      </c>
      <c r="AG12" s="124">
        <f t="shared" si="9"/>
        <v>68663.64021386407</v>
      </c>
      <c r="AH12" s="124">
        <f t="shared" si="9"/>
        <v>68651.346867296597</v>
      </c>
      <c r="AI12" s="124">
        <f t="shared" si="9"/>
        <v>68638.759394460227</v>
      </c>
      <c r="AJ12" s="125">
        <f t="shared" si="9"/>
        <v>68521.829177199179</v>
      </c>
    </row>
    <row r="13" spans="1:36" x14ac:dyDescent="0.25">
      <c r="A13" s="210"/>
      <c r="B13" s="106" t="s">
        <v>74</v>
      </c>
      <c r="C13" s="213"/>
      <c r="D13" s="101" t="s">
        <v>53</v>
      </c>
      <c r="E13" s="26" t="s">
        <v>18</v>
      </c>
      <c r="F13" s="180">
        <f>'[1]Water Balance m3year'!$AC$24</f>
        <v>0</v>
      </c>
      <c r="G13" s="2">
        <f>F13</f>
        <v>0</v>
      </c>
      <c r="H13" s="2">
        <f t="shared" ref="H13:AJ13" si="10">G13</f>
        <v>0</v>
      </c>
      <c r="I13" s="2">
        <f t="shared" si="10"/>
        <v>0</v>
      </c>
      <c r="J13" s="2">
        <f t="shared" si="10"/>
        <v>0</v>
      </c>
      <c r="K13" s="2">
        <f t="shared" si="10"/>
        <v>0</v>
      </c>
      <c r="L13" s="51">
        <f t="shared" si="10"/>
        <v>0</v>
      </c>
      <c r="M13" s="51">
        <f t="shared" si="10"/>
        <v>0</v>
      </c>
      <c r="N13" s="51">
        <f t="shared" si="10"/>
        <v>0</v>
      </c>
      <c r="O13" s="51">
        <f t="shared" si="10"/>
        <v>0</v>
      </c>
      <c r="P13" s="51">
        <f t="shared" si="10"/>
        <v>0</v>
      </c>
      <c r="Q13" s="51">
        <f t="shared" si="10"/>
        <v>0</v>
      </c>
      <c r="R13" s="51">
        <f t="shared" si="10"/>
        <v>0</v>
      </c>
      <c r="S13" s="51">
        <f t="shared" si="10"/>
        <v>0</v>
      </c>
      <c r="T13" s="51">
        <f t="shared" si="10"/>
        <v>0</v>
      </c>
      <c r="U13" s="51">
        <f t="shared" si="10"/>
        <v>0</v>
      </c>
      <c r="V13" s="51">
        <f t="shared" si="10"/>
        <v>0</v>
      </c>
      <c r="W13" s="51">
        <f t="shared" si="10"/>
        <v>0</v>
      </c>
      <c r="X13" s="51">
        <f t="shared" si="10"/>
        <v>0</v>
      </c>
      <c r="Y13" s="51">
        <f t="shared" si="10"/>
        <v>0</v>
      </c>
      <c r="Z13" s="51">
        <f t="shared" si="10"/>
        <v>0</v>
      </c>
      <c r="AA13" s="51">
        <f t="shared" si="10"/>
        <v>0</v>
      </c>
      <c r="AB13" s="51">
        <f t="shared" si="10"/>
        <v>0</v>
      </c>
      <c r="AC13" s="51">
        <f t="shared" si="10"/>
        <v>0</v>
      </c>
      <c r="AD13" s="51">
        <f t="shared" si="10"/>
        <v>0</v>
      </c>
      <c r="AE13" s="51">
        <f t="shared" si="10"/>
        <v>0</v>
      </c>
      <c r="AF13" s="51">
        <f t="shared" si="10"/>
        <v>0</v>
      </c>
      <c r="AG13" s="51">
        <f t="shared" si="10"/>
        <v>0</v>
      </c>
      <c r="AH13" s="51">
        <f t="shared" si="10"/>
        <v>0</v>
      </c>
      <c r="AI13" s="51">
        <f t="shared" si="10"/>
        <v>0</v>
      </c>
      <c r="AJ13" s="126">
        <f t="shared" si="10"/>
        <v>0</v>
      </c>
    </row>
    <row r="14" spans="1:36" x14ac:dyDescent="0.25">
      <c r="A14" s="210"/>
      <c r="B14" s="106" t="s">
        <v>75</v>
      </c>
      <c r="C14" s="213"/>
      <c r="D14" s="101" t="s">
        <v>54</v>
      </c>
      <c r="E14" s="26" t="s">
        <v>18</v>
      </c>
      <c r="F14" s="180">
        <f>'[1]Water Balance m3year'!$AC$29</f>
        <v>152613.36842105258</v>
      </c>
      <c r="G14" s="96">
        <f t="shared" ref="G14:AJ14" si="11">G6/(1-G17)*G17</f>
        <v>61070.405763695344</v>
      </c>
      <c r="H14" s="51">
        <f t="shared" si="11"/>
        <v>63161.498628054876</v>
      </c>
      <c r="I14" s="51">
        <f t="shared" si="11"/>
        <v>65619.273510271159</v>
      </c>
      <c r="J14" s="51">
        <f t="shared" si="11"/>
        <v>68337.545238254053</v>
      </c>
      <c r="K14" s="51">
        <f t="shared" si="11"/>
        <v>71198.842208064627</v>
      </c>
      <c r="L14" s="127">
        <f t="shared" si="11"/>
        <v>73317.025972257936</v>
      </c>
      <c r="M14" s="89">
        <f t="shared" si="11"/>
        <v>72769.700132561164</v>
      </c>
      <c r="N14" s="51">
        <f t="shared" si="11"/>
        <v>72227.883510338128</v>
      </c>
      <c r="O14" s="51">
        <f t="shared" si="11"/>
        <v>71691.526617472191</v>
      </c>
      <c r="P14" s="51">
        <f t="shared" si="11"/>
        <v>71160.58038326932</v>
      </c>
      <c r="Q14" s="51">
        <f t="shared" si="11"/>
        <v>70634.996151075349</v>
      </c>
      <c r="R14" s="51">
        <f t="shared" si="11"/>
        <v>70114.725674920002</v>
      </c>
      <c r="S14" s="51">
        <f t="shared" si="11"/>
        <v>69641.439944220911</v>
      </c>
      <c r="T14" s="51">
        <f t="shared" si="11"/>
        <v>69539.308227079964</v>
      </c>
      <c r="U14" s="51">
        <f t="shared" si="11"/>
        <v>69437.122297690235</v>
      </c>
      <c r="V14" s="51">
        <f t="shared" si="11"/>
        <v>69334.886048079657</v>
      </c>
      <c r="W14" s="51">
        <f t="shared" si="11"/>
        <v>69232.603327918419</v>
      </c>
      <c r="X14" s="51">
        <f t="shared" si="11"/>
        <v>69130.277944873858</v>
      </c>
      <c r="Y14" s="51">
        <f t="shared" si="11"/>
        <v>69027.913664962834</v>
      </c>
      <c r="Z14" s="51">
        <f t="shared" si="11"/>
        <v>68925.514212901398</v>
      </c>
      <c r="AA14" s="51">
        <f t="shared" si="11"/>
        <v>68823.083272452044</v>
      </c>
      <c r="AB14" s="51">
        <f t="shared" si="11"/>
        <v>68720.624486767934</v>
      </c>
      <c r="AC14" s="51">
        <f t="shared" si="11"/>
        <v>68709.832063391324</v>
      </c>
      <c r="AD14" s="51">
        <f t="shared" si="11"/>
        <v>68698.735383542808</v>
      </c>
      <c r="AE14" s="51">
        <f t="shared" si="11"/>
        <v>68687.336493057912</v>
      </c>
      <c r="AF14" s="51">
        <f t="shared" si="11"/>
        <v>68675.637427832262</v>
      </c>
      <c r="AG14" s="51">
        <f t="shared" si="11"/>
        <v>68663.64021386407</v>
      </c>
      <c r="AH14" s="51">
        <f t="shared" si="11"/>
        <v>68651.346867296597</v>
      </c>
      <c r="AI14" s="51">
        <f t="shared" si="11"/>
        <v>68638.759394460227</v>
      </c>
      <c r="AJ14" s="126">
        <f t="shared" si="11"/>
        <v>68521.829177199179</v>
      </c>
    </row>
    <row r="15" spans="1:36" ht="15.75" thickBot="1" x14ac:dyDescent="0.3">
      <c r="A15" s="211"/>
      <c r="B15" s="108" t="s">
        <v>0</v>
      </c>
      <c r="C15" s="214"/>
      <c r="D15" s="104" t="s">
        <v>55</v>
      </c>
      <c r="E15" s="25" t="s">
        <v>18</v>
      </c>
      <c r="F15" s="183">
        <f>'[1]Water Balance m3year'!$T$34</f>
        <v>989923.63157894742</v>
      </c>
      <c r="G15" s="47">
        <f>F15*0.99</f>
        <v>980024.3952631579</v>
      </c>
      <c r="H15" s="47">
        <f t="shared" ref="H15:K15" si="12">G15*0.99</f>
        <v>970224.1513105263</v>
      </c>
      <c r="I15" s="47">
        <f t="shared" si="12"/>
        <v>960521.90979742107</v>
      </c>
      <c r="J15" s="47">
        <f t="shared" si="12"/>
        <v>950916.69069944683</v>
      </c>
      <c r="K15" s="47">
        <f t="shared" si="12"/>
        <v>941407.5237924523</v>
      </c>
      <c r="L15" s="128">
        <f>K15+(IP!L10-IP!F10)*365-(4.85+18.4+13.1)*1.5*IP!F9*365</f>
        <v>507666.49844605412</v>
      </c>
      <c r="M15" s="90">
        <f t="shared" ref="M15:AJ15" si="13">L15*0.99</f>
        <v>502589.83346159355</v>
      </c>
      <c r="N15" s="47">
        <f t="shared" si="13"/>
        <v>497563.93512697762</v>
      </c>
      <c r="O15" s="47">
        <f t="shared" si="13"/>
        <v>492588.29577570787</v>
      </c>
      <c r="P15" s="47">
        <f t="shared" si="13"/>
        <v>487662.41281795077</v>
      </c>
      <c r="Q15" s="47">
        <f t="shared" si="13"/>
        <v>482785.78868977126</v>
      </c>
      <c r="R15" s="47">
        <f t="shared" si="13"/>
        <v>477957.93080287357</v>
      </c>
      <c r="S15" s="47">
        <f t="shared" si="13"/>
        <v>473178.35149484483</v>
      </c>
      <c r="T15" s="47">
        <f t="shared" si="13"/>
        <v>468446.56797989638</v>
      </c>
      <c r="U15" s="47">
        <f t="shared" si="13"/>
        <v>463762.10230009741</v>
      </c>
      <c r="V15" s="47">
        <f t="shared" si="13"/>
        <v>459124.48127709643</v>
      </c>
      <c r="W15" s="47">
        <f t="shared" si="13"/>
        <v>454533.23646432546</v>
      </c>
      <c r="X15" s="47">
        <f t="shared" si="13"/>
        <v>449987.90409968217</v>
      </c>
      <c r="Y15" s="47">
        <f t="shared" si="13"/>
        <v>445488.02505868534</v>
      </c>
      <c r="Z15" s="47">
        <f t="shared" si="13"/>
        <v>441033.1448080985</v>
      </c>
      <c r="AA15" s="47">
        <f t="shared" si="13"/>
        <v>436622.81336001749</v>
      </c>
      <c r="AB15" s="47">
        <f t="shared" si="13"/>
        <v>432256.58522641729</v>
      </c>
      <c r="AC15" s="47">
        <f t="shared" si="13"/>
        <v>427934.01937415311</v>
      </c>
      <c r="AD15" s="47">
        <f t="shared" si="13"/>
        <v>423654.67918041156</v>
      </c>
      <c r="AE15" s="47">
        <f t="shared" si="13"/>
        <v>419418.13238860742</v>
      </c>
      <c r="AF15" s="47">
        <f t="shared" si="13"/>
        <v>415223.95106472133</v>
      </c>
      <c r="AG15" s="47">
        <f t="shared" si="13"/>
        <v>411071.71155407414</v>
      </c>
      <c r="AH15" s="47">
        <f t="shared" si="13"/>
        <v>406960.99443853338</v>
      </c>
      <c r="AI15" s="47">
        <f t="shared" si="13"/>
        <v>402891.38449414802</v>
      </c>
      <c r="AJ15" s="129">
        <f t="shared" si="13"/>
        <v>398862.47064920655</v>
      </c>
    </row>
    <row r="17" spans="4:36" x14ac:dyDescent="0.25">
      <c r="D17" s="88" t="s">
        <v>54</v>
      </c>
      <c r="E17" s="83" t="s">
        <v>2</v>
      </c>
      <c r="F17" s="99">
        <v>0.02</v>
      </c>
      <c r="G17" s="99">
        <f>F17</f>
        <v>0.02</v>
      </c>
      <c r="H17" s="99">
        <f t="shared" ref="H17:AJ17" si="14">G17</f>
        <v>0.02</v>
      </c>
      <c r="I17" s="99">
        <f t="shared" si="14"/>
        <v>0.02</v>
      </c>
      <c r="J17" s="99">
        <f t="shared" si="14"/>
        <v>0.02</v>
      </c>
      <c r="K17" s="99">
        <f t="shared" si="14"/>
        <v>0.02</v>
      </c>
      <c r="L17" s="99">
        <f t="shared" si="14"/>
        <v>0.02</v>
      </c>
      <c r="M17" s="99">
        <f t="shared" si="14"/>
        <v>0.02</v>
      </c>
      <c r="N17" s="99">
        <f t="shared" si="14"/>
        <v>0.02</v>
      </c>
      <c r="O17" s="99">
        <f t="shared" si="14"/>
        <v>0.02</v>
      </c>
      <c r="P17" s="99">
        <f t="shared" si="14"/>
        <v>0.02</v>
      </c>
      <c r="Q17" s="99">
        <f t="shared" si="14"/>
        <v>0.02</v>
      </c>
      <c r="R17" s="99">
        <f t="shared" si="14"/>
        <v>0.02</v>
      </c>
      <c r="S17" s="99">
        <f t="shared" si="14"/>
        <v>0.02</v>
      </c>
      <c r="T17" s="99">
        <f t="shared" si="14"/>
        <v>0.02</v>
      </c>
      <c r="U17" s="99">
        <f t="shared" si="14"/>
        <v>0.02</v>
      </c>
      <c r="V17" s="99">
        <f t="shared" si="14"/>
        <v>0.02</v>
      </c>
      <c r="W17" s="99">
        <f t="shared" si="14"/>
        <v>0.02</v>
      </c>
      <c r="X17" s="99">
        <f t="shared" si="14"/>
        <v>0.02</v>
      </c>
      <c r="Y17" s="99">
        <f t="shared" si="14"/>
        <v>0.02</v>
      </c>
      <c r="Z17" s="99">
        <f t="shared" si="14"/>
        <v>0.02</v>
      </c>
      <c r="AA17" s="99">
        <f t="shared" si="14"/>
        <v>0.02</v>
      </c>
      <c r="AB17" s="99">
        <f t="shared" si="14"/>
        <v>0.02</v>
      </c>
      <c r="AC17" s="99">
        <f t="shared" si="14"/>
        <v>0.02</v>
      </c>
      <c r="AD17" s="99">
        <f t="shared" si="14"/>
        <v>0.02</v>
      </c>
      <c r="AE17" s="99">
        <f t="shared" si="14"/>
        <v>0.02</v>
      </c>
      <c r="AF17" s="99">
        <f t="shared" si="14"/>
        <v>0.02</v>
      </c>
      <c r="AG17" s="99">
        <f t="shared" si="14"/>
        <v>0.02</v>
      </c>
      <c r="AH17" s="99">
        <f t="shared" si="14"/>
        <v>0.02</v>
      </c>
      <c r="AI17" s="99">
        <f t="shared" si="14"/>
        <v>0.02</v>
      </c>
      <c r="AJ17" s="99">
        <f t="shared" si="14"/>
        <v>0.02</v>
      </c>
    </row>
    <row r="23" spans="4:36" x14ac:dyDescent="0.25">
      <c r="F23" s="1"/>
    </row>
  </sheetData>
  <mergeCells count="5">
    <mergeCell ref="A2:A15"/>
    <mergeCell ref="C4:C11"/>
    <mergeCell ref="C12:C15"/>
    <mergeCell ref="B2:D2"/>
    <mergeCell ref="B1:A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J21"/>
  <sheetViews>
    <sheetView zoomScale="80" zoomScaleNormal="80" workbookViewId="0">
      <selection activeCell="F18" sqref="F18"/>
    </sheetView>
  </sheetViews>
  <sheetFormatPr defaultRowHeight="15" outlineLevelCol="1" x14ac:dyDescent="0.25"/>
  <cols>
    <col min="1" max="1" width="15.28515625" customWidth="1"/>
    <col min="2" max="2" width="6.140625" customWidth="1"/>
    <col min="3" max="3" width="3.85546875" customWidth="1"/>
    <col min="4" max="4" width="31.140625" customWidth="1"/>
    <col min="5" max="5" width="8.85546875" style="134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100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Sfantu Gheorghe</v>
      </c>
      <c r="C2" s="216"/>
      <c r="D2" s="216"/>
      <c r="E2" s="150" t="s">
        <v>64</v>
      </c>
      <c r="F2" s="151">
        <v>2018</v>
      </c>
      <c r="G2" s="151">
        <v>2019</v>
      </c>
      <c r="H2" s="151">
        <v>2020</v>
      </c>
      <c r="I2" s="151">
        <v>2021</v>
      </c>
      <c r="J2" s="151">
        <v>2022</v>
      </c>
      <c r="K2" s="151">
        <v>2023</v>
      </c>
      <c r="L2" s="151">
        <v>2024</v>
      </c>
      <c r="M2" s="151">
        <v>2025</v>
      </c>
      <c r="N2" s="151">
        <v>2026</v>
      </c>
      <c r="O2" s="151">
        <v>2027</v>
      </c>
      <c r="P2" s="151">
        <v>2028</v>
      </c>
      <c r="Q2" s="151">
        <v>2029</v>
      </c>
      <c r="R2" s="151">
        <v>2030</v>
      </c>
      <c r="S2" s="151">
        <v>2031</v>
      </c>
      <c r="T2" s="151">
        <v>2032</v>
      </c>
      <c r="U2" s="151">
        <v>2033</v>
      </c>
      <c r="V2" s="151">
        <v>2034</v>
      </c>
      <c r="W2" s="151">
        <v>2035</v>
      </c>
      <c r="X2" s="151">
        <v>2036</v>
      </c>
      <c r="Y2" s="151">
        <v>2037</v>
      </c>
      <c r="Z2" s="151">
        <v>2038</v>
      </c>
      <c r="AA2" s="151">
        <v>2039</v>
      </c>
      <c r="AB2" s="151">
        <v>2040</v>
      </c>
      <c r="AC2" s="151">
        <v>2041</v>
      </c>
      <c r="AD2" s="151">
        <v>2042</v>
      </c>
      <c r="AE2" s="151">
        <v>2043</v>
      </c>
      <c r="AF2" s="151">
        <v>2044</v>
      </c>
      <c r="AG2" s="151">
        <v>2045</v>
      </c>
      <c r="AH2" s="151">
        <v>2046</v>
      </c>
      <c r="AI2" s="151">
        <v>2047</v>
      </c>
      <c r="AJ2" s="152">
        <v>2048</v>
      </c>
    </row>
    <row r="3" spans="1:36" x14ac:dyDescent="0.25">
      <c r="A3" s="221"/>
      <c r="B3" s="153" t="s">
        <v>22</v>
      </c>
      <c r="C3" s="218" t="s">
        <v>82</v>
      </c>
      <c r="D3" s="154" t="s">
        <v>23</v>
      </c>
      <c r="E3" s="155" t="s">
        <v>76</v>
      </c>
      <c r="F3" s="156">
        <f>'Prognoza BA'!F3/365</f>
        <v>11406.734246575343</v>
      </c>
      <c r="G3" s="156">
        <f>'Prognoza BA'!G3/365</f>
        <v>11379.723324514864</v>
      </c>
      <c r="H3" s="156">
        <f>'Prognoza BA'!H3/365</f>
        <v>11636.035258666492</v>
      </c>
      <c r="I3" s="156">
        <f>'Prognoza BA'!I3/365</f>
        <v>11942.878997654738</v>
      </c>
      <c r="J3" s="156">
        <f>'Prognoza BA'!J3/365</f>
        <v>12285.705613580325</v>
      </c>
      <c r="K3" s="156">
        <f>'Prognoza BA'!K3/365</f>
        <v>12648.420122128511</v>
      </c>
      <c r="L3" s="156">
        <f>'Prognoza BA'!L3/365</f>
        <v>12577.724867848894</v>
      </c>
      <c r="M3" s="156">
        <f>'Prognoza BA'!M3/365</f>
        <v>12479.951572872922</v>
      </c>
      <c r="N3" s="156">
        <f>'Prognoza BA'!N3/365</f>
        <v>12383.161429337732</v>
      </c>
      <c r="O3" s="156">
        <f>'Prognoza BA'!O3/365</f>
        <v>12287.345450176026</v>
      </c>
      <c r="P3" s="156">
        <f>'Prognoza BA'!P3/365</f>
        <v>12192.494726519337</v>
      </c>
      <c r="Q3" s="156">
        <f>'Prognoza BA'!Q3/365</f>
        <v>12098.600427035324</v>
      </c>
      <c r="R3" s="156">
        <f>'Prognoza BA'!R3/365</f>
        <v>12005.653797270577</v>
      </c>
      <c r="S3" s="156">
        <f>'Prognoza BA'!S3/365</f>
        <v>11919.932557743778</v>
      </c>
      <c r="T3" s="156">
        <f>'Prognoza BA'!T3/365</f>
        <v>11890.282677444615</v>
      </c>
      <c r="U3" s="156">
        <f>'Prognoza BA'!U3/365</f>
        <v>11860.767229871424</v>
      </c>
      <c r="V3" s="156">
        <f>'Prognoza BA'!V3/365</f>
        <v>11831.385375477226</v>
      </c>
      <c r="W3" s="156">
        <f>'Prognoza BA'!W3/365</f>
        <v>11802.136282592523</v>
      </c>
      <c r="X3" s="156">
        <f>'Prognoza BA'!X3/365</f>
        <v>11773.019127336198</v>
      </c>
      <c r="Y3" s="156">
        <f>'Prognoza BA'!Y3/365</f>
        <v>11744.033093527421</v>
      </c>
      <c r="Z3" s="156">
        <f>'Prognoza BA'!Z3/365</f>
        <v>11715.177372598589</v>
      </c>
      <c r="AA3" s="156">
        <f>'Prognoza BA'!AA3/365</f>
        <v>11686.451163509266</v>
      </c>
      <c r="AB3" s="156">
        <f>'Prognoza BA'!AB3/365</f>
        <v>11657.853672661082</v>
      </c>
      <c r="AC3" s="156">
        <f>'Prognoza BA'!AC3/365</f>
        <v>11643.20050629614</v>
      </c>
      <c r="AD3" s="156">
        <f>'Prognoza BA'!AD3/365</f>
        <v>11628.631762173445</v>
      </c>
      <c r="AE3" s="156">
        <f>'Prognoza BA'!AE3/365</f>
        <v>11614.146445878503</v>
      </c>
      <c r="AF3" s="156">
        <f>'Prognoza BA'!AF3/365</f>
        <v>11599.743574525939</v>
      </c>
      <c r="AG3" s="156">
        <f>'Prognoza BA'!AG3/365</f>
        <v>11585.422176635633</v>
      </c>
      <c r="AH3" s="156">
        <f>'Prognoza BA'!AH3/365</f>
        <v>11571.181292010135</v>
      </c>
      <c r="AI3" s="156">
        <f>'Prognoza BA'!AI3/365</f>
        <v>11557.019971613356</v>
      </c>
      <c r="AJ3" s="157">
        <f>'Prognoza BA'!AJ3/365</f>
        <v>11527.258417698857</v>
      </c>
    </row>
    <row r="4" spans="1:36" ht="15" customHeight="1" x14ac:dyDescent="0.25">
      <c r="A4" s="221"/>
      <c r="B4" s="158" t="s">
        <v>1</v>
      </c>
      <c r="C4" s="219"/>
      <c r="D4" s="8" t="s">
        <v>27</v>
      </c>
      <c r="E4" s="137" t="s">
        <v>77</v>
      </c>
      <c r="F4" s="143">
        <f>'Prognoza BA'!F8/365</f>
        <v>3462.476712328767</v>
      </c>
      <c r="G4" s="143">
        <f>'Prognoza BA'!G8/365</f>
        <v>3181.2304959639819</v>
      </c>
      <c r="H4" s="143">
        <f>'Prognoza BA'!H8/365</f>
        <v>3156.8203743522772</v>
      </c>
      <c r="I4" s="145">
        <f>'Prognoza BA'!I8/365</f>
        <v>3133.7162524402524</v>
      </c>
      <c r="J4" s="145">
        <f>'Prognoza BA'!J8/365</f>
        <v>3111.6241980338928</v>
      </c>
      <c r="K4" s="145">
        <f>'Prognoza BA'!K8/365</f>
        <v>3090.2193873472334</v>
      </c>
      <c r="L4" s="143">
        <f>'Prognoza BA'!L8/365</f>
        <v>2735.1652167786497</v>
      </c>
      <c r="M4" s="146">
        <f>'Prognoza BA'!M8/365</f>
        <v>2710.868541378411</v>
      </c>
      <c r="N4" s="143">
        <f>'Prognoza BA'!N8/365</f>
        <v>2686.8154238402853</v>
      </c>
      <c r="O4" s="146">
        <f>'Prognoza BA'!O8/365</f>
        <v>2663.003520707156</v>
      </c>
      <c r="P4" s="143">
        <f>'Prognoza BA'!P8/365</f>
        <v>2639.430510683183</v>
      </c>
      <c r="Q4" s="143">
        <f>'Prognoza BA'!Q8/365</f>
        <v>2616.094094425207</v>
      </c>
      <c r="R4" s="143">
        <f>'Prognoza BA'!R8/365</f>
        <v>2592.9919943361124</v>
      </c>
      <c r="S4" s="143">
        <f>'Prognoza BA'!S8/365</f>
        <v>2570.8077433141225</v>
      </c>
      <c r="T4" s="143">
        <f>'Prognoza BA'!T8/365</f>
        <v>2554.8686962749753</v>
      </c>
      <c r="U4" s="143">
        <f>'Prognoza BA'!U8/365</f>
        <v>2539.0713597705439</v>
      </c>
      <c r="V4" s="143">
        <f>'Prognoza BA'!V8/365</f>
        <v>2523.414371762422</v>
      </c>
      <c r="W4" s="143">
        <f>'Prognoza BA'!W8/365</f>
        <v>2507.896383776078</v>
      </c>
      <c r="X4" s="143">
        <f>'Prognoza BA'!X8/365</f>
        <v>2492.5160607640919</v>
      </c>
      <c r="Y4" s="143">
        <f>'Prognoza BA'!Y8/365</f>
        <v>2477.2720809707694</v>
      </c>
      <c r="Z4" s="143">
        <f>'Prognoza BA'!Z8/365</f>
        <v>2462.1631357981282</v>
      </c>
      <c r="AA4" s="143">
        <f>'Prognoza BA'!AA8/365</f>
        <v>2447.1879296732372</v>
      </c>
      <c r="AB4" s="143">
        <f>'Prognoza BA'!AB8/365</f>
        <v>2432.3451799168947</v>
      </c>
      <c r="AC4" s="143">
        <f>'Prognoza BA'!AC8/365</f>
        <v>2419.1408594299078</v>
      </c>
      <c r="AD4" s="143">
        <f>'Prognoza BA'!AD8/365</f>
        <v>2406.0618065745466</v>
      </c>
      <c r="AE4" s="143">
        <f>'Prognoza BA'!AE8/365</f>
        <v>2393.1067522899061</v>
      </c>
      <c r="AF4" s="143">
        <f>'Prognoza BA'!AF8/365</f>
        <v>2380.2744403785946</v>
      </c>
      <c r="AG4" s="143">
        <f>'Prognoza BA'!AG8/365</f>
        <v>2367.563627377167</v>
      </c>
      <c r="AH4" s="143">
        <f>'Prognoza BA'!AH8/365</f>
        <v>2354.9730824278527</v>
      </c>
      <c r="AI4" s="143">
        <f>'Prognoza BA'!AI8/365</f>
        <v>2342.5015871515734</v>
      </c>
      <c r="AJ4" s="159">
        <f>'Prognoza BA'!AJ8/365</f>
        <v>2328.4375144584174</v>
      </c>
    </row>
    <row r="5" spans="1:36" x14ac:dyDescent="0.25">
      <c r="A5" s="221"/>
      <c r="B5" s="158" t="s">
        <v>3</v>
      </c>
      <c r="C5" s="219"/>
      <c r="D5" s="147" t="s">
        <v>78</v>
      </c>
      <c r="E5" s="26" t="s">
        <v>2</v>
      </c>
      <c r="F5" s="148">
        <f>F4/F3</f>
        <v>0.30354671525448318</v>
      </c>
      <c r="G5" s="149">
        <f t="shared" ref="G5:AJ5" si="0">G4/G3</f>
        <v>0.27955253438462685</v>
      </c>
      <c r="H5" s="149">
        <f t="shared" si="0"/>
        <v>0.27129690690831182</v>
      </c>
      <c r="I5" s="149">
        <f t="shared" si="0"/>
        <v>0.26239202901206909</v>
      </c>
      <c r="J5" s="149">
        <f t="shared" si="0"/>
        <v>0.25327191582666425</v>
      </c>
      <c r="K5" s="149">
        <f t="shared" si="0"/>
        <v>0.24431663065499146</v>
      </c>
      <c r="L5" s="148">
        <f t="shared" si="0"/>
        <v>0.21746104685198375</v>
      </c>
      <c r="M5" s="148">
        <f t="shared" si="0"/>
        <v>0.21721787344679264</v>
      </c>
      <c r="N5" s="148">
        <f t="shared" si="0"/>
        <v>0.21697330194491213</v>
      </c>
      <c r="O5" s="148">
        <f t="shared" si="0"/>
        <v>0.21672732580892859</v>
      </c>
      <c r="P5" s="148">
        <f t="shared" si="0"/>
        <v>0.21647993867426316</v>
      </c>
      <c r="Q5" s="148">
        <f t="shared" si="0"/>
        <v>0.21623113435330324</v>
      </c>
      <c r="R5" s="148">
        <f t="shared" si="0"/>
        <v>0.21598090683954385</v>
      </c>
      <c r="S5" s="148">
        <f t="shared" si="0"/>
        <v>0.21567301080441087</v>
      </c>
      <c r="T5" s="148">
        <f t="shared" si="0"/>
        <v>0.21487030759339792</v>
      </c>
      <c r="U5" s="148">
        <f t="shared" si="0"/>
        <v>0.21407311268834914</v>
      </c>
      <c r="V5" s="148">
        <f t="shared" si="0"/>
        <v>0.21328139450116074</v>
      </c>
      <c r="W5" s="148">
        <f t="shared" si="0"/>
        <v>0.21249512153787634</v>
      </c>
      <c r="X5" s="148">
        <f t="shared" si="0"/>
        <v>0.2117142623999165</v>
      </c>
      <c r="Y5" s="148">
        <f t="shared" si="0"/>
        <v>0.2109387857852757</v>
      </c>
      <c r="Z5" s="148">
        <f t="shared" si="0"/>
        <v>0.2101686604896863</v>
      </c>
      <c r="AA5" s="148">
        <f t="shared" si="0"/>
        <v>0.20940385540775097</v>
      </c>
      <c r="AB5" s="148">
        <f t="shared" si="0"/>
        <v>0.20864433953404349</v>
      </c>
      <c r="AC5" s="148">
        <f t="shared" si="0"/>
        <v>0.20777284202240964</v>
      </c>
      <c r="AD5" s="148">
        <f t="shared" si="0"/>
        <v>0.2069084184436194</v>
      </c>
      <c r="AE5" s="148">
        <f t="shared" si="0"/>
        <v>0.20605102264223168</v>
      </c>
      <c r="AF5" s="148">
        <f t="shared" si="0"/>
        <v>0.20520060853809627</v>
      </c>
      <c r="AG5" s="148">
        <f t="shared" si="0"/>
        <v>0.20435713013133366</v>
      </c>
      <c r="AH5" s="148">
        <f t="shared" si="0"/>
        <v>0.20352054150719723</v>
      </c>
      <c r="AI5" s="148">
        <f t="shared" si="0"/>
        <v>0.20269079684081925</v>
      </c>
      <c r="AJ5" s="160">
        <f t="shared" si="0"/>
        <v>0.20199404143515631</v>
      </c>
    </row>
    <row r="6" spans="1:36" x14ac:dyDescent="0.25">
      <c r="A6" s="221"/>
      <c r="B6" s="158" t="s">
        <v>0</v>
      </c>
      <c r="C6" s="219"/>
      <c r="D6" s="8" t="s">
        <v>79</v>
      </c>
      <c r="E6" s="26" t="s">
        <v>77</v>
      </c>
      <c r="F6" s="171">
        <f>'Prognoza BA'!F15/365</f>
        <v>2712.1195385724586</v>
      </c>
      <c r="G6" s="171">
        <f>'Prognoza BA'!G15/365</f>
        <v>2684.998343186734</v>
      </c>
      <c r="H6" s="171">
        <f>'Prognoza BA'!H15/365</f>
        <v>2658.1483597548668</v>
      </c>
      <c r="I6" s="171">
        <f>'Prognoza BA'!I15/365</f>
        <v>2631.5668761573179</v>
      </c>
      <c r="J6" s="171">
        <f>'Prognoza BA'!J15/365</f>
        <v>2605.2512073957446</v>
      </c>
      <c r="K6" s="171">
        <f>'Prognoza BA'!K15/365</f>
        <v>2579.198695321787</v>
      </c>
      <c r="L6" s="171">
        <f>'Prognoza BA'!L15/365</f>
        <v>1390.8671190302853</v>
      </c>
      <c r="M6" s="171">
        <f>'Prognoza BA'!M15/365</f>
        <v>1376.9584478399822</v>
      </c>
      <c r="N6" s="171">
        <f>'Prognoza BA'!N15/365</f>
        <v>1363.1888633615824</v>
      </c>
      <c r="O6" s="171">
        <f>'Prognoza BA'!O15/365</f>
        <v>1349.5569747279667</v>
      </c>
      <c r="P6" s="171">
        <f>'Prognoza BA'!P15/365</f>
        <v>1336.061404980687</v>
      </c>
      <c r="Q6" s="171">
        <f>'Prognoza BA'!Q15/365</f>
        <v>1322.7007909308802</v>
      </c>
      <c r="R6" s="171">
        <f>'Prognoza BA'!R15/365</f>
        <v>1309.4737830215713</v>
      </c>
      <c r="S6" s="171">
        <f>'Prognoza BA'!S15/365</f>
        <v>1296.3790451913558</v>
      </c>
      <c r="T6" s="171">
        <f>'Prognoza BA'!T15/365</f>
        <v>1283.4152547394422</v>
      </c>
      <c r="U6" s="171">
        <f>'Prognoza BA'!U15/365</f>
        <v>1270.5811021920476</v>
      </c>
      <c r="V6" s="171">
        <f>'Prognoza BA'!V15/365</f>
        <v>1257.8752911701272</v>
      </c>
      <c r="W6" s="171">
        <f>'Prognoza BA'!W15/365</f>
        <v>1245.2965382584259</v>
      </c>
      <c r="X6" s="171">
        <f>'Prognoza BA'!X15/365</f>
        <v>1232.8435728758416</v>
      </c>
      <c r="Y6" s="171">
        <f>'Prognoza BA'!Y15/365</f>
        <v>1220.5151371470831</v>
      </c>
      <c r="Z6" s="171">
        <f>'Prognoza BA'!Z15/365</f>
        <v>1208.3099857756124</v>
      </c>
      <c r="AA6" s="171">
        <f>'Prognoza BA'!AA15/365</f>
        <v>1196.2268859178562</v>
      </c>
      <c r="AB6" s="171">
        <f>'Prognoza BA'!AB15/365</f>
        <v>1184.2646170586775</v>
      </c>
      <c r="AC6" s="171">
        <f>'Prognoza BA'!AC15/365</f>
        <v>1172.4219708880908</v>
      </c>
      <c r="AD6" s="171">
        <f>'Prognoza BA'!AD15/365</f>
        <v>1160.6977511792097</v>
      </c>
      <c r="AE6" s="171">
        <f>'Prognoza BA'!AE15/365</f>
        <v>1149.0907736674176</v>
      </c>
      <c r="AF6" s="171">
        <f>'Prognoza BA'!AF15/365</f>
        <v>1137.5998659307434</v>
      </c>
      <c r="AG6" s="171">
        <f>'Prognoza BA'!AG15/365</f>
        <v>1126.2238672714359</v>
      </c>
      <c r="AH6" s="171">
        <f>'Prognoza BA'!AH15/365</f>
        <v>1114.9616285987215</v>
      </c>
      <c r="AI6" s="171">
        <f>'Prognoza BA'!AI15/365</f>
        <v>1103.8120123127344</v>
      </c>
      <c r="AJ6" s="172">
        <f>'Prognoza BA'!AJ15/365</f>
        <v>1092.7738921896071</v>
      </c>
    </row>
    <row r="7" spans="1:36" x14ac:dyDescent="0.25">
      <c r="A7" s="221"/>
      <c r="B7" s="158"/>
      <c r="C7" s="219"/>
      <c r="D7" s="8" t="s">
        <v>80</v>
      </c>
      <c r="E7" s="26" t="s">
        <v>2</v>
      </c>
      <c r="F7" s="144">
        <f>F6/F3</f>
        <v>0.23776476947262284</v>
      </c>
      <c r="G7" s="144">
        <f t="shared" ref="G7:AJ7" si="1">G6/G3</f>
        <v>0.23594583687307705</v>
      </c>
      <c r="H7" s="144">
        <f t="shared" si="1"/>
        <v>0.22844107126394997</v>
      </c>
      <c r="I7" s="144">
        <f t="shared" si="1"/>
        <v>0.22034610554742179</v>
      </c>
      <c r="J7" s="144">
        <f t="shared" si="1"/>
        <v>0.21205548051842968</v>
      </c>
      <c r="K7" s="144">
        <f t="shared" si="1"/>
        <v>0.20391469214478877</v>
      </c>
      <c r="L7" s="144">
        <f t="shared" si="1"/>
        <v>0.11058177322558642</v>
      </c>
      <c r="M7" s="144">
        <f t="shared" si="1"/>
        <v>0.1103336370978403</v>
      </c>
      <c r="N7" s="144">
        <f t="shared" si="1"/>
        <v>0.11008407434081942</v>
      </c>
      <c r="O7" s="144">
        <f t="shared" si="1"/>
        <v>0.10983307828369335</v>
      </c>
      <c r="P7" s="144">
        <f t="shared" si="1"/>
        <v>0.10958064243199393</v>
      </c>
      <c r="Q7" s="144">
        <f t="shared" si="1"/>
        <v>0.10932676047183076</v>
      </c>
      <c r="R7" s="144">
        <f t="shared" si="1"/>
        <v>0.10907142627411706</v>
      </c>
      <c r="S7" s="144">
        <f t="shared" si="1"/>
        <v>0.10875724664643038</v>
      </c>
      <c r="T7" s="144">
        <f t="shared" si="1"/>
        <v>0.10793816173723346</v>
      </c>
      <c r="U7" s="144">
        <f t="shared" si="1"/>
        <v>0.1071246975484082</v>
      </c>
      <c r="V7" s="144">
        <f t="shared" si="1"/>
        <v>0.10631682184719556</v>
      </c>
      <c r="W7" s="144">
        <f t="shared" si="1"/>
        <v>0.10551450249690535</v>
      </c>
      <c r="X7" s="144">
        <f t="shared" si="1"/>
        <v>0.10471770745817083</v>
      </c>
      <c r="Y7" s="144">
        <f t="shared" si="1"/>
        <v>0.10392640479017</v>
      </c>
      <c r="Z7" s="144">
        <f t="shared" si="1"/>
        <v>0.10314056265181347</v>
      </c>
      <c r="AA7" s="144">
        <f t="shared" si="1"/>
        <v>0.10236014930289986</v>
      </c>
      <c r="AB7" s="144">
        <f t="shared" si="1"/>
        <v>0.10158513310523919</v>
      </c>
      <c r="AC7" s="144">
        <f t="shared" si="1"/>
        <v>0.10069584993010261</v>
      </c>
      <c r="AD7" s="144">
        <f t="shared" si="1"/>
        <v>9.9813785053786061E-2</v>
      </c>
      <c r="AE7" s="144">
        <f t="shared" si="1"/>
        <v>9.8938891378900592E-2</v>
      </c>
      <c r="AF7" s="144">
        <f t="shared" si="1"/>
        <v>9.8071121884884857E-2</v>
      </c>
      <c r="AG7" s="144">
        <f t="shared" si="1"/>
        <v>9.721042963308632E-2</v>
      </c>
      <c r="AH7" s="144">
        <f t="shared" si="1"/>
        <v>9.6356767771722585E-2</v>
      </c>
      <c r="AI7" s="144">
        <f t="shared" si="1"/>
        <v>9.5510089540724624E-2</v>
      </c>
      <c r="AJ7" s="161">
        <f t="shared" si="1"/>
        <v>9.4799114636986981E-2</v>
      </c>
    </row>
    <row r="8" spans="1:36" x14ac:dyDescent="0.25">
      <c r="A8" s="221"/>
      <c r="B8" s="158" t="s">
        <v>5</v>
      </c>
      <c r="C8" s="219"/>
      <c r="D8" s="8" t="s">
        <v>91</v>
      </c>
      <c r="E8" s="26" t="s">
        <v>4</v>
      </c>
      <c r="F8" s="143">
        <f>F6/F13*1000</f>
        <v>477.31776462028483</v>
      </c>
      <c r="G8" s="167">
        <f t="shared" ref="G8:AJ8" si="2">G6/G13*1000</f>
        <v>472.54458697408205</v>
      </c>
      <c r="H8" s="167">
        <f t="shared" si="2"/>
        <v>467.81914110434121</v>
      </c>
      <c r="I8" s="167">
        <f t="shared" si="2"/>
        <v>463.14094969329778</v>
      </c>
      <c r="J8" s="167">
        <f t="shared" si="2"/>
        <v>458.50954019636475</v>
      </c>
      <c r="K8" s="167">
        <f t="shared" si="2"/>
        <v>453.9244447944011</v>
      </c>
      <c r="L8" s="168">
        <f t="shared" si="2"/>
        <v>240.55779662484733</v>
      </c>
      <c r="M8" s="168">
        <f t="shared" si="2"/>
        <v>238.15221865859885</v>
      </c>
      <c r="N8" s="168">
        <f t="shared" si="2"/>
        <v>235.77069647201284</v>
      </c>
      <c r="O8" s="168">
        <f t="shared" si="2"/>
        <v>233.41298950729274</v>
      </c>
      <c r="P8" s="168">
        <f t="shared" si="2"/>
        <v>231.07885961221979</v>
      </c>
      <c r="Q8" s="168">
        <f t="shared" si="2"/>
        <v>228.76807101609762</v>
      </c>
      <c r="R8" s="168">
        <f t="shared" si="2"/>
        <v>226.48039030593662</v>
      </c>
      <c r="S8" s="168">
        <f t="shared" si="2"/>
        <v>224.21558640287728</v>
      </c>
      <c r="T8" s="168">
        <f t="shared" si="2"/>
        <v>221.97343053884853</v>
      </c>
      <c r="U8" s="168">
        <f t="shared" si="2"/>
        <v>219.75369623346</v>
      </c>
      <c r="V8" s="168">
        <f t="shared" si="2"/>
        <v>217.55615927112541</v>
      </c>
      <c r="W8" s="168">
        <f t="shared" si="2"/>
        <v>215.38059767841418</v>
      </c>
      <c r="X8" s="168">
        <f t="shared" si="2"/>
        <v>213.22679170162999</v>
      </c>
      <c r="Y8" s="168">
        <f t="shared" si="2"/>
        <v>211.0945237846137</v>
      </c>
      <c r="Z8" s="168">
        <f t="shared" si="2"/>
        <v>208.98357854676757</v>
      </c>
      <c r="AA8" s="168">
        <f t="shared" si="2"/>
        <v>206.89374276129988</v>
      </c>
      <c r="AB8" s="168">
        <f t="shared" si="2"/>
        <v>204.82480533368687</v>
      </c>
      <c r="AC8" s="168">
        <f t="shared" si="2"/>
        <v>202.77655728034998</v>
      </c>
      <c r="AD8" s="168">
        <f t="shared" si="2"/>
        <v>200.74879170754647</v>
      </c>
      <c r="AE8" s="168">
        <f t="shared" si="2"/>
        <v>198.74130379047099</v>
      </c>
      <c r="AF8" s="168">
        <f t="shared" si="2"/>
        <v>196.75389075256629</v>
      </c>
      <c r="AG8" s="168">
        <f t="shared" si="2"/>
        <v>194.78635184504063</v>
      </c>
      <c r="AH8" s="168">
        <f t="shared" si="2"/>
        <v>192.83848832659021</v>
      </c>
      <c r="AI8" s="168">
        <f t="shared" si="2"/>
        <v>190.91010344332432</v>
      </c>
      <c r="AJ8" s="169">
        <f t="shared" si="2"/>
        <v>189.00100240889108</v>
      </c>
    </row>
    <row r="9" spans="1:36" x14ac:dyDescent="0.25">
      <c r="A9" s="221"/>
      <c r="B9" s="158" t="s">
        <v>98</v>
      </c>
      <c r="C9" s="219"/>
      <c r="D9" s="8" t="s">
        <v>92</v>
      </c>
      <c r="E9" s="26" t="s">
        <v>93</v>
      </c>
      <c r="F9" s="143">
        <f>F6/F12</f>
        <v>21.870699974901452</v>
      </c>
      <c r="G9" s="167">
        <f t="shared" ref="G9:AJ9" si="3">G6/G12</f>
        <v>21.651992975152439</v>
      </c>
      <c r="H9" s="167">
        <f t="shared" si="3"/>
        <v>21.435473045400915</v>
      </c>
      <c r="I9" s="167">
        <f t="shared" si="3"/>
        <v>21.221118314946903</v>
      </c>
      <c r="J9" s="167">
        <f t="shared" si="3"/>
        <v>21.008907131797432</v>
      </c>
      <c r="K9" s="167">
        <f t="shared" si="3"/>
        <v>20.798818060479459</v>
      </c>
      <c r="L9" s="168">
        <f t="shared" si="3"/>
        <v>11.022358241350505</v>
      </c>
      <c r="M9" s="168">
        <f t="shared" si="3"/>
        <v>10.912134658936997</v>
      </c>
      <c r="N9" s="168">
        <f t="shared" si="3"/>
        <v>10.803013312347629</v>
      </c>
      <c r="O9" s="168">
        <f t="shared" si="3"/>
        <v>10.694983179224153</v>
      </c>
      <c r="P9" s="168">
        <f t="shared" si="3"/>
        <v>10.58803334743191</v>
      </c>
      <c r="Q9" s="168">
        <f t="shared" si="3"/>
        <v>10.482153013957593</v>
      </c>
      <c r="R9" s="168">
        <f t="shared" si="3"/>
        <v>10.377331483818015</v>
      </c>
      <c r="S9" s="168">
        <f t="shared" si="3"/>
        <v>10.273558168979836</v>
      </c>
      <c r="T9" s="168">
        <f t="shared" si="3"/>
        <v>10.170822587290038</v>
      </c>
      <c r="U9" s="168">
        <f t="shared" si="3"/>
        <v>10.069114361417137</v>
      </c>
      <c r="V9" s="168">
        <f t="shared" si="3"/>
        <v>9.9684232178029646</v>
      </c>
      <c r="W9" s="168">
        <f t="shared" si="3"/>
        <v>9.8687389856249368</v>
      </c>
      <c r="X9" s="168">
        <f t="shared" si="3"/>
        <v>9.7700515957686864</v>
      </c>
      <c r="Y9" s="168">
        <f t="shared" si="3"/>
        <v>9.6723510798109995</v>
      </c>
      <c r="Z9" s="168">
        <f t="shared" si="3"/>
        <v>9.5756275690128891</v>
      </c>
      <c r="AA9" s="168">
        <f t="shared" si="3"/>
        <v>9.4798712933227591</v>
      </c>
      <c r="AB9" s="168">
        <f t="shared" si="3"/>
        <v>9.3850725803895312</v>
      </c>
      <c r="AC9" s="168">
        <f t="shared" si="3"/>
        <v>9.2912218545856362</v>
      </c>
      <c r="AD9" s="168">
        <f t="shared" si="3"/>
        <v>9.1983096360397791</v>
      </c>
      <c r="AE9" s="168">
        <f t="shared" si="3"/>
        <v>9.1063265396793813</v>
      </c>
      <c r="AF9" s="168">
        <f t="shared" si="3"/>
        <v>9.0152632742825869</v>
      </c>
      <c r="AG9" s="168">
        <f t="shared" si="3"/>
        <v>8.9251106415397601</v>
      </c>
      <c r="AH9" s="168">
        <f t="shared" si="3"/>
        <v>8.8358595351243636</v>
      </c>
      <c r="AI9" s="168">
        <f t="shared" si="3"/>
        <v>8.7475009397731203</v>
      </c>
      <c r="AJ9" s="169">
        <f t="shared" si="3"/>
        <v>8.6600259303753884</v>
      </c>
    </row>
    <row r="10" spans="1:36" x14ac:dyDescent="0.25">
      <c r="A10" s="221"/>
      <c r="B10" s="158"/>
      <c r="C10" s="219"/>
      <c r="D10" s="8" t="s">
        <v>35</v>
      </c>
      <c r="E10" s="26" t="s">
        <v>76</v>
      </c>
      <c r="F10" s="145">
        <f>((18*F12/F13+0.8+0.025*F15)*F14)*F13/1000</f>
        <v>237.22039982540377</v>
      </c>
      <c r="G10" s="167">
        <f t="shared" ref="G10:AJ10" si="4">((18*G12/G13+0.8+0.025*G15)*G14)*G13/1000</f>
        <v>237.22039982540377</v>
      </c>
      <c r="H10" s="167">
        <f t="shared" si="4"/>
        <v>237.22039982540377</v>
      </c>
      <c r="I10" s="167">
        <f t="shared" si="4"/>
        <v>237.22039982540377</v>
      </c>
      <c r="J10" s="167">
        <f t="shared" si="4"/>
        <v>237.22039982540377</v>
      </c>
      <c r="K10" s="167">
        <f t="shared" si="4"/>
        <v>237.22039982540377</v>
      </c>
      <c r="L10" s="168">
        <f t="shared" si="4"/>
        <v>241.38873966540376</v>
      </c>
      <c r="M10" s="168">
        <f t="shared" si="4"/>
        <v>241.38873966540376</v>
      </c>
      <c r="N10" s="168">
        <f t="shared" si="4"/>
        <v>241.38873966540376</v>
      </c>
      <c r="O10" s="168">
        <f t="shared" si="4"/>
        <v>241.38873966540376</v>
      </c>
      <c r="P10" s="168">
        <f t="shared" si="4"/>
        <v>241.38873966540376</v>
      </c>
      <c r="Q10" s="168">
        <f t="shared" si="4"/>
        <v>241.38873966540376</v>
      </c>
      <c r="R10" s="168">
        <f t="shared" si="4"/>
        <v>241.38873966540376</v>
      </c>
      <c r="S10" s="168">
        <f t="shared" si="4"/>
        <v>241.38873966540376</v>
      </c>
      <c r="T10" s="168">
        <f t="shared" si="4"/>
        <v>241.38873966540376</v>
      </c>
      <c r="U10" s="168">
        <f t="shared" si="4"/>
        <v>241.38873966540376</v>
      </c>
      <c r="V10" s="168">
        <f t="shared" si="4"/>
        <v>241.38873966540376</v>
      </c>
      <c r="W10" s="168">
        <f t="shared" si="4"/>
        <v>241.38873966540376</v>
      </c>
      <c r="X10" s="168">
        <f t="shared" si="4"/>
        <v>241.38873966540376</v>
      </c>
      <c r="Y10" s="168">
        <f t="shared" si="4"/>
        <v>241.38873966540376</v>
      </c>
      <c r="Z10" s="168">
        <f t="shared" si="4"/>
        <v>241.38873966540376</v>
      </c>
      <c r="AA10" s="168">
        <f t="shared" si="4"/>
        <v>241.38873966540376</v>
      </c>
      <c r="AB10" s="168">
        <f t="shared" si="4"/>
        <v>241.38873966540376</v>
      </c>
      <c r="AC10" s="168">
        <f t="shared" si="4"/>
        <v>241.38873966540376</v>
      </c>
      <c r="AD10" s="168">
        <f t="shared" si="4"/>
        <v>241.38873966540376</v>
      </c>
      <c r="AE10" s="168">
        <f t="shared" si="4"/>
        <v>241.38873966540376</v>
      </c>
      <c r="AF10" s="168">
        <f t="shared" si="4"/>
        <v>241.38873966540376</v>
      </c>
      <c r="AG10" s="168">
        <f t="shared" si="4"/>
        <v>241.38873966540376</v>
      </c>
      <c r="AH10" s="168">
        <f t="shared" si="4"/>
        <v>241.38873966540376</v>
      </c>
      <c r="AI10" s="168">
        <f t="shared" si="4"/>
        <v>241.38873966540376</v>
      </c>
      <c r="AJ10" s="169">
        <f t="shared" si="4"/>
        <v>241.38873966540376</v>
      </c>
    </row>
    <row r="11" spans="1:36" ht="15.75" thickBot="1" x14ac:dyDescent="0.3">
      <c r="A11" s="221"/>
      <c r="B11" s="162" t="s">
        <v>7</v>
      </c>
      <c r="C11" s="220"/>
      <c r="D11" s="43" t="s">
        <v>6</v>
      </c>
      <c r="E11" s="141"/>
      <c r="F11" s="173">
        <f>F6/F10</f>
        <v>11.432910241145372</v>
      </c>
      <c r="G11" s="174">
        <f t="shared" ref="G11:AJ11" si="5">G6/G10</f>
        <v>11.318581138733919</v>
      </c>
      <c r="H11" s="174">
        <f t="shared" si="5"/>
        <v>11.205395327346579</v>
      </c>
      <c r="I11" s="174">
        <f t="shared" si="5"/>
        <v>11.093341374073113</v>
      </c>
      <c r="J11" s="174">
        <f t="shared" si="5"/>
        <v>10.982407960332381</v>
      </c>
      <c r="K11" s="174">
        <f t="shared" si="5"/>
        <v>10.872583880729056</v>
      </c>
      <c r="L11" s="175">
        <f t="shared" si="5"/>
        <v>5.7619386925761669</v>
      </c>
      <c r="M11" s="175">
        <f t="shared" si="5"/>
        <v>5.7043193056504045</v>
      </c>
      <c r="N11" s="175">
        <f t="shared" si="5"/>
        <v>5.6472761125939002</v>
      </c>
      <c r="O11" s="175">
        <f t="shared" si="5"/>
        <v>5.5908033514679616</v>
      </c>
      <c r="P11" s="175">
        <f t="shared" si="5"/>
        <v>5.534895317953282</v>
      </c>
      <c r="Q11" s="175">
        <f t="shared" si="5"/>
        <v>5.4795463647737499</v>
      </c>
      <c r="R11" s="175">
        <f t="shared" si="5"/>
        <v>5.4247509011260115</v>
      </c>
      <c r="S11" s="175">
        <f t="shared" si="5"/>
        <v>5.3705033921147525</v>
      </c>
      <c r="T11" s="175">
        <f t="shared" si="5"/>
        <v>5.3167983581936049</v>
      </c>
      <c r="U11" s="175">
        <f t="shared" si="5"/>
        <v>5.2636303746116679</v>
      </c>
      <c r="V11" s="175">
        <f t="shared" si="5"/>
        <v>5.2109940708655511</v>
      </c>
      <c r="W11" s="175">
        <f t="shared" si="5"/>
        <v>5.1588841301568964</v>
      </c>
      <c r="X11" s="175">
        <f t="shared" si="5"/>
        <v>5.1072952888553269</v>
      </c>
      <c r="Y11" s="175">
        <f t="shared" si="5"/>
        <v>5.0562223359667735</v>
      </c>
      <c r="Z11" s="175">
        <f t="shared" si="5"/>
        <v>5.0056601126071056</v>
      </c>
      <c r="AA11" s="175">
        <f t="shared" si="5"/>
        <v>4.9556035114810344</v>
      </c>
      <c r="AB11" s="175">
        <f t="shared" si="5"/>
        <v>4.9060474763662238</v>
      </c>
      <c r="AC11" s="175">
        <f t="shared" si="5"/>
        <v>4.8569870016025618</v>
      </c>
      <c r="AD11" s="175">
        <f t="shared" si="5"/>
        <v>4.8084171315865358</v>
      </c>
      <c r="AE11" s="175">
        <f t="shared" si="5"/>
        <v>4.7603329602706701</v>
      </c>
      <c r="AF11" s="175">
        <f t="shared" si="5"/>
        <v>4.7127296306679627</v>
      </c>
      <c r="AG11" s="175">
        <f t="shared" si="5"/>
        <v>4.6656023343612834</v>
      </c>
      <c r="AH11" s="175">
        <f t="shared" si="5"/>
        <v>4.6189463110176705</v>
      </c>
      <c r="AI11" s="175">
        <f t="shared" si="5"/>
        <v>4.5727568479074945</v>
      </c>
      <c r="AJ11" s="176">
        <f t="shared" si="5"/>
        <v>4.5270292794284188</v>
      </c>
    </row>
    <row r="12" spans="1:36" x14ac:dyDescent="0.25">
      <c r="A12" s="221"/>
      <c r="B12" s="153" t="s">
        <v>97</v>
      </c>
      <c r="C12" s="223" t="s">
        <v>81</v>
      </c>
      <c r="D12" s="37" t="s">
        <v>83</v>
      </c>
      <c r="E12" s="33" t="s">
        <v>84</v>
      </c>
      <c r="F12" s="37">
        <f>[1]Network!$D$28</f>
        <v>124.00698384984723</v>
      </c>
      <c r="G12" s="39">
        <f>F12</f>
        <v>124.00698384984723</v>
      </c>
      <c r="H12" s="39">
        <f t="shared" ref="H12:K12" si="6">G12</f>
        <v>124.00698384984723</v>
      </c>
      <c r="I12" s="39">
        <f t="shared" si="6"/>
        <v>124.00698384984723</v>
      </c>
      <c r="J12" s="39">
        <f t="shared" si="6"/>
        <v>124.00698384984723</v>
      </c>
      <c r="K12" s="39">
        <f t="shared" si="6"/>
        <v>124.00698384984723</v>
      </c>
      <c r="L12" s="165">
        <f>K12+2.179</f>
        <v>126.18598384984723</v>
      </c>
      <c r="M12" s="165">
        <f>L12</f>
        <v>126.18598384984723</v>
      </c>
      <c r="N12" s="165">
        <f t="shared" ref="N12:AJ12" si="7">M12</f>
        <v>126.18598384984723</v>
      </c>
      <c r="O12" s="165">
        <f t="shared" si="7"/>
        <v>126.18598384984723</v>
      </c>
      <c r="P12" s="165">
        <f t="shared" si="7"/>
        <v>126.18598384984723</v>
      </c>
      <c r="Q12" s="165">
        <f t="shared" si="7"/>
        <v>126.18598384984723</v>
      </c>
      <c r="R12" s="165">
        <f t="shared" si="7"/>
        <v>126.18598384984723</v>
      </c>
      <c r="S12" s="165">
        <f t="shared" si="7"/>
        <v>126.18598384984723</v>
      </c>
      <c r="T12" s="165">
        <f t="shared" si="7"/>
        <v>126.18598384984723</v>
      </c>
      <c r="U12" s="165">
        <f t="shared" si="7"/>
        <v>126.18598384984723</v>
      </c>
      <c r="V12" s="165">
        <f t="shared" si="7"/>
        <v>126.18598384984723</v>
      </c>
      <c r="W12" s="165">
        <f t="shared" si="7"/>
        <v>126.18598384984723</v>
      </c>
      <c r="X12" s="165">
        <f t="shared" si="7"/>
        <v>126.18598384984723</v>
      </c>
      <c r="Y12" s="165">
        <f t="shared" si="7"/>
        <v>126.18598384984723</v>
      </c>
      <c r="Z12" s="165">
        <f t="shared" si="7"/>
        <v>126.18598384984723</v>
      </c>
      <c r="AA12" s="165">
        <f t="shared" si="7"/>
        <v>126.18598384984723</v>
      </c>
      <c r="AB12" s="165">
        <f t="shared" si="7"/>
        <v>126.18598384984723</v>
      </c>
      <c r="AC12" s="165">
        <f t="shared" si="7"/>
        <v>126.18598384984723</v>
      </c>
      <c r="AD12" s="165">
        <f t="shared" si="7"/>
        <v>126.18598384984723</v>
      </c>
      <c r="AE12" s="165">
        <f t="shared" si="7"/>
        <v>126.18598384984723</v>
      </c>
      <c r="AF12" s="165">
        <f t="shared" si="7"/>
        <v>126.18598384984723</v>
      </c>
      <c r="AG12" s="165">
        <f t="shared" si="7"/>
        <v>126.18598384984723</v>
      </c>
      <c r="AH12" s="165">
        <f t="shared" si="7"/>
        <v>126.18598384984723</v>
      </c>
      <c r="AI12" s="165">
        <f t="shared" si="7"/>
        <v>126.18598384984723</v>
      </c>
      <c r="AJ12" s="166">
        <f t="shared" si="7"/>
        <v>126.18598384984723</v>
      </c>
    </row>
    <row r="13" spans="1:36" x14ac:dyDescent="0.25">
      <c r="A13" s="221"/>
      <c r="B13" s="158" t="s">
        <v>96</v>
      </c>
      <c r="C13" s="224"/>
      <c r="D13" s="8" t="s">
        <v>85</v>
      </c>
      <c r="E13" s="26" t="s">
        <v>86</v>
      </c>
      <c r="F13" s="2">
        <f>[1]Network!$H$30</f>
        <v>5682</v>
      </c>
      <c r="G13" s="138">
        <f>F13</f>
        <v>5682</v>
      </c>
      <c r="H13" s="138">
        <f t="shared" ref="H13:AJ15" si="8">G13</f>
        <v>5682</v>
      </c>
      <c r="I13" s="138">
        <f t="shared" si="8"/>
        <v>5682</v>
      </c>
      <c r="J13" s="138">
        <f t="shared" si="8"/>
        <v>5682</v>
      </c>
      <c r="K13" s="138">
        <f t="shared" si="8"/>
        <v>5682</v>
      </c>
      <c r="L13" s="139">
        <f>F13*L12/F12</f>
        <v>5781.8417799999997</v>
      </c>
      <c r="M13" s="139">
        <f t="shared" si="8"/>
        <v>5781.8417799999997</v>
      </c>
      <c r="N13" s="139">
        <f t="shared" si="8"/>
        <v>5781.8417799999997</v>
      </c>
      <c r="O13" s="139">
        <f t="shared" si="8"/>
        <v>5781.8417799999997</v>
      </c>
      <c r="P13" s="139">
        <f t="shared" si="8"/>
        <v>5781.8417799999997</v>
      </c>
      <c r="Q13" s="139">
        <f t="shared" si="8"/>
        <v>5781.8417799999997</v>
      </c>
      <c r="R13" s="139">
        <f t="shared" si="8"/>
        <v>5781.8417799999997</v>
      </c>
      <c r="S13" s="139">
        <f t="shared" si="8"/>
        <v>5781.8417799999997</v>
      </c>
      <c r="T13" s="139">
        <f t="shared" si="8"/>
        <v>5781.8417799999997</v>
      </c>
      <c r="U13" s="139">
        <f t="shared" si="8"/>
        <v>5781.8417799999997</v>
      </c>
      <c r="V13" s="139">
        <f t="shared" si="8"/>
        <v>5781.8417799999997</v>
      </c>
      <c r="W13" s="139">
        <f t="shared" si="8"/>
        <v>5781.8417799999997</v>
      </c>
      <c r="X13" s="139">
        <f t="shared" si="8"/>
        <v>5781.8417799999997</v>
      </c>
      <c r="Y13" s="139">
        <f t="shared" si="8"/>
        <v>5781.8417799999997</v>
      </c>
      <c r="Z13" s="139">
        <f t="shared" si="8"/>
        <v>5781.8417799999997</v>
      </c>
      <c r="AA13" s="139">
        <f t="shared" si="8"/>
        <v>5781.8417799999997</v>
      </c>
      <c r="AB13" s="139">
        <f t="shared" si="8"/>
        <v>5781.8417799999997</v>
      </c>
      <c r="AC13" s="139">
        <f t="shared" si="8"/>
        <v>5781.8417799999997</v>
      </c>
      <c r="AD13" s="139">
        <f t="shared" si="8"/>
        <v>5781.8417799999997</v>
      </c>
      <c r="AE13" s="139">
        <f t="shared" si="8"/>
        <v>5781.8417799999997</v>
      </c>
      <c r="AF13" s="139">
        <f t="shared" si="8"/>
        <v>5781.8417799999997</v>
      </c>
      <c r="AG13" s="139">
        <f t="shared" si="8"/>
        <v>5781.8417799999997</v>
      </c>
      <c r="AH13" s="139">
        <f t="shared" si="8"/>
        <v>5781.8417799999997</v>
      </c>
      <c r="AI13" s="139">
        <f t="shared" si="8"/>
        <v>5781.8417799999997</v>
      </c>
      <c r="AJ13" s="140">
        <f t="shared" si="8"/>
        <v>5781.8417799999997</v>
      </c>
    </row>
    <row r="14" spans="1:36" x14ac:dyDescent="0.25">
      <c r="A14" s="221"/>
      <c r="B14" s="158" t="s">
        <v>94</v>
      </c>
      <c r="C14" s="224"/>
      <c r="D14" s="8" t="s">
        <v>87</v>
      </c>
      <c r="E14" s="26" t="s">
        <v>88</v>
      </c>
      <c r="F14" s="8">
        <f>[1]Pressure!$F$33</f>
        <v>35</v>
      </c>
      <c r="G14" s="48">
        <f>F14</f>
        <v>35</v>
      </c>
      <c r="H14" s="139">
        <f t="shared" si="8"/>
        <v>35</v>
      </c>
      <c r="I14" s="139">
        <f t="shared" si="8"/>
        <v>35</v>
      </c>
      <c r="J14" s="139">
        <f t="shared" si="8"/>
        <v>35</v>
      </c>
      <c r="K14" s="139">
        <f t="shared" si="8"/>
        <v>35</v>
      </c>
      <c r="L14" s="89">
        <f t="shared" si="8"/>
        <v>35</v>
      </c>
      <c r="M14" s="89">
        <f t="shared" si="8"/>
        <v>35</v>
      </c>
      <c r="N14" s="139">
        <f t="shared" si="8"/>
        <v>35</v>
      </c>
      <c r="O14" s="139">
        <f t="shared" si="8"/>
        <v>35</v>
      </c>
      <c r="P14" s="139">
        <f t="shared" si="8"/>
        <v>35</v>
      </c>
      <c r="Q14" s="139">
        <f t="shared" si="8"/>
        <v>35</v>
      </c>
      <c r="R14" s="139">
        <f t="shared" si="8"/>
        <v>35</v>
      </c>
      <c r="S14" s="139">
        <f t="shared" si="8"/>
        <v>35</v>
      </c>
      <c r="T14" s="139">
        <f t="shared" si="8"/>
        <v>35</v>
      </c>
      <c r="U14" s="139">
        <f t="shared" si="8"/>
        <v>35</v>
      </c>
      <c r="V14" s="139">
        <f t="shared" si="8"/>
        <v>35</v>
      </c>
      <c r="W14" s="139">
        <f t="shared" si="8"/>
        <v>35</v>
      </c>
      <c r="X14" s="139">
        <f t="shared" si="8"/>
        <v>35</v>
      </c>
      <c r="Y14" s="139">
        <f t="shared" si="8"/>
        <v>35</v>
      </c>
      <c r="Z14" s="139">
        <f t="shared" si="8"/>
        <v>35</v>
      </c>
      <c r="AA14" s="139">
        <f t="shared" si="8"/>
        <v>35</v>
      </c>
      <c r="AB14" s="139">
        <f t="shared" si="8"/>
        <v>35</v>
      </c>
      <c r="AC14" s="139">
        <f t="shared" si="8"/>
        <v>35</v>
      </c>
      <c r="AD14" s="139">
        <f t="shared" si="8"/>
        <v>35</v>
      </c>
      <c r="AE14" s="139">
        <f t="shared" si="8"/>
        <v>35</v>
      </c>
      <c r="AF14" s="139">
        <f t="shared" si="8"/>
        <v>35</v>
      </c>
      <c r="AG14" s="139">
        <f t="shared" si="8"/>
        <v>35</v>
      </c>
      <c r="AH14" s="139">
        <f t="shared" si="8"/>
        <v>35</v>
      </c>
      <c r="AI14" s="139">
        <f t="shared" si="8"/>
        <v>35</v>
      </c>
      <c r="AJ14" s="140">
        <f t="shared" si="8"/>
        <v>35</v>
      </c>
    </row>
    <row r="15" spans="1:36" ht="15.75" thickBot="1" x14ac:dyDescent="0.3">
      <c r="A15" s="222"/>
      <c r="B15" s="162" t="s">
        <v>95</v>
      </c>
      <c r="C15" s="225"/>
      <c r="D15" s="43" t="s">
        <v>89</v>
      </c>
      <c r="E15" s="25" t="s">
        <v>90</v>
      </c>
      <c r="F15" s="43">
        <v>0</v>
      </c>
      <c r="G15" s="142">
        <f>F15</f>
        <v>0</v>
      </c>
      <c r="H15" s="142">
        <f t="shared" si="8"/>
        <v>0</v>
      </c>
      <c r="I15" s="142">
        <f t="shared" si="8"/>
        <v>0</v>
      </c>
      <c r="J15" s="142">
        <f t="shared" si="8"/>
        <v>0</v>
      </c>
      <c r="K15" s="142">
        <f t="shared" si="8"/>
        <v>0</v>
      </c>
      <c r="L15" s="142">
        <f t="shared" si="8"/>
        <v>0</v>
      </c>
      <c r="M15" s="142">
        <f t="shared" si="8"/>
        <v>0</v>
      </c>
      <c r="N15" s="142">
        <f t="shared" si="8"/>
        <v>0</v>
      </c>
      <c r="O15" s="142">
        <f t="shared" si="8"/>
        <v>0</v>
      </c>
      <c r="P15" s="142">
        <f t="shared" si="8"/>
        <v>0</v>
      </c>
      <c r="Q15" s="142">
        <f t="shared" si="8"/>
        <v>0</v>
      </c>
      <c r="R15" s="142">
        <f t="shared" si="8"/>
        <v>0</v>
      </c>
      <c r="S15" s="142">
        <f t="shared" si="8"/>
        <v>0</v>
      </c>
      <c r="T15" s="142">
        <f t="shared" si="8"/>
        <v>0</v>
      </c>
      <c r="U15" s="142">
        <f t="shared" si="8"/>
        <v>0</v>
      </c>
      <c r="V15" s="142">
        <f t="shared" si="8"/>
        <v>0</v>
      </c>
      <c r="W15" s="142">
        <f t="shared" si="8"/>
        <v>0</v>
      </c>
      <c r="X15" s="142">
        <f t="shared" si="8"/>
        <v>0</v>
      </c>
      <c r="Y15" s="142">
        <f t="shared" si="8"/>
        <v>0</v>
      </c>
      <c r="Z15" s="142">
        <f t="shared" si="8"/>
        <v>0</v>
      </c>
      <c r="AA15" s="142">
        <f t="shared" si="8"/>
        <v>0</v>
      </c>
      <c r="AB15" s="142">
        <f t="shared" si="8"/>
        <v>0</v>
      </c>
      <c r="AC15" s="142">
        <f t="shared" si="8"/>
        <v>0</v>
      </c>
      <c r="AD15" s="142">
        <f t="shared" si="8"/>
        <v>0</v>
      </c>
      <c r="AE15" s="142">
        <f t="shared" si="8"/>
        <v>0</v>
      </c>
      <c r="AF15" s="142">
        <f t="shared" si="8"/>
        <v>0</v>
      </c>
      <c r="AG15" s="142">
        <f t="shared" si="8"/>
        <v>0</v>
      </c>
      <c r="AH15" s="142">
        <f t="shared" si="8"/>
        <v>0</v>
      </c>
      <c r="AI15" s="142">
        <f t="shared" si="8"/>
        <v>0</v>
      </c>
      <c r="AJ15" s="142">
        <f t="shared" si="8"/>
        <v>0</v>
      </c>
    </row>
    <row r="17" spans="3:12" x14ac:dyDescent="0.25">
      <c r="C17" s="134"/>
      <c r="E17"/>
    </row>
    <row r="21" spans="3:12" x14ac:dyDescent="0.25">
      <c r="L21" t="s">
        <v>101</v>
      </c>
    </row>
  </sheetData>
  <mergeCells count="5">
    <mergeCell ref="C3:C11"/>
    <mergeCell ref="A2:A15"/>
    <mergeCell ref="B2:D2"/>
    <mergeCell ref="C12:C15"/>
    <mergeCell ref="B1:A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2:AP12"/>
  <sheetViews>
    <sheetView workbookViewId="0">
      <selection activeCell="F24" sqref="F24"/>
    </sheetView>
  </sheetViews>
  <sheetFormatPr defaultRowHeight="15" x14ac:dyDescent="0.25"/>
  <cols>
    <col min="1" max="1" width="47.140625" bestFit="1" customWidth="1"/>
    <col min="3" max="3" width="11.7109375" bestFit="1" customWidth="1"/>
  </cols>
  <sheetData>
    <row r="2" spans="1:42" x14ac:dyDescent="0.25">
      <c r="A2" s="71" t="s">
        <v>36</v>
      </c>
    </row>
    <row r="4" spans="1:42" x14ac:dyDescent="0.25">
      <c r="C4" s="72">
        <v>2014</v>
      </c>
      <c r="D4" s="72">
        <v>2015</v>
      </c>
      <c r="E4" s="72">
        <v>2016</v>
      </c>
      <c r="F4" s="72">
        <v>2017</v>
      </c>
      <c r="G4" s="72">
        <v>2018</v>
      </c>
      <c r="H4" s="72">
        <v>2019</v>
      </c>
      <c r="I4" s="72">
        <v>2020</v>
      </c>
      <c r="J4" s="72">
        <v>2021</v>
      </c>
      <c r="K4" s="72">
        <v>2022</v>
      </c>
      <c r="L4" s="72">
        <v>2023</v>
      </c>
      <c r="M4" s="72">
        <v>2024</v>
      </c>
      <c r="N4" s="72">
        <v>2025</v>
      </c>
      <c r="O4" s="72">
        <v>2026</v>
      </c>
      <c r="P4" s="72">
        <v>2027</v>
      </c>
      <c r="Q4" s="72">
        <v>2028</v>
      </c>
      <c r="R4" s="72">
        <v>2029</v>
      </c>
      <c r="S4" s="72">
        <v>2030</v>
      </c>
      <c r="T4" s="72">
        <v>2031</v>
      </c>
      <c r="U4" s="72">
        <v>2032</v>
      </c>
      <c r="V4" s="72">
        <v>2033</v>
      </c>
      <c r="W4" s="72">
        <v>2034</v>
      </c>
      <c r="X4" s="72">
        <v>2035</v>
      </c>
      <c r="Y4" s="72">
        <v>2036</v>
      </c>
      <c r="Z4" s="72">
        <v>2037</v>
      </c>
      <c r="AA4" s="72">
        <v>2038</v>
      </c>
      <c r="AB4" s="72">
        <v>2039</v>
      </c>
      <c r="AC4" s="72">
        <v>2040</v>
      </c>
      <c r="AD4" s="72">
        <v>2041</v>
      </c>
      <c r="AE4" s="72">
        <v>2042</v>
      </c>
      <c r="AF4" s="72">
        <v>2043</v>
      </c>
      <c r="AG4" s="72">
        <v>2044</v>
      </c>
      <c r="AH4" s="72">
        <v>2045</v>
      </c>
      <c r="AI4" s="72">
        <v>2046</v>
      </c>
      <c r="AJ4" s="72">
        <v>2047</v>
      </c>
      <c r="AK4" s="72">
        <v>2048</v>
      </c>
      <c r="AL4" s="72">
        <v>2049</v>
      </c>
      <c r="AM4" s="72">
        <v>2050</v>
      </c>
    </row>
    <row r="5" spans="1:42" s="73" customFormat="1" ht="14.25" customHeight="1" x14ac:dyDescent="0.2">
      <c r="A5" s="73" t="s">
        <v>37</v>
      </c>
      <c r="B5" s="74" t="s">
        <v>2</v>
      </c>
      <c r="C5" s="75">
        <v>3.1E-2</v>
      </c>
      <c r="D5" s="75">
        <v>3.7999999999999999E-2</v>
      </c>
      <c r="E5" s="75">
        <v>4.8000000000000001E-2</v>
      </c>
      <c r="F5" s="75">
        <v>7.0000000000000007E-2</v>
      </c>
      <c r="G5" s="75">
        <v>4.1000000000000002E-2</v>
      </c>
      <c r="H5" s="75">
        <v>5.5E-2</v>
      </c>
      <c r="I5" s="75">
        <v>5.7000000000000002E-2</v>
      </c>
      <c r="J5" s="76">
        <v>0.05</v>
      </c>
      <c r="K5" s="76">
        <v>0.05</v>
      </c>
      <c r="L5" s="75">
        <v>3.5000000000000003E-2</v>
      </c>
      <c r="M5" s="75">
        <f t="shared" ref="M5:AM5" si="0">L5</f>
        <v>3.5000000000000003E-2</v>
      </c>
      <c r="N5" s="75">
        <f t="shared" si="0"/>
        <v>3.5000000000000003E-2</v>
      </c>
      <c r="O5" s="75">
        <f t="shared" si="0"/>
        <v>3.5000000000000003E-2</v>
      </c>
      <c r="P5" s="75">
        <f t="shared" si="0"/>
        <v>3.5000000000000003E-2</v>
      </c>
      <c r="Q5" s="75">
        <f t="shared" si="0"/>
        <v>3.5000000000000003E-2</v>
      </c>
      <c r="R5" s="75">
        <f t="shared" si="0"/>
        <v>3.5000000000000003E-2</v>
      </c>
      <c r="S5" s="75">
        <f t="shared" si="0"/>
        <v>3.5000000000000003E-2</v>
      </c>
      <c r="T5" s="75">
        <f t="shared" si="0"/>
        <v>3.5000000000000003E-2</v>
      </c>
      <c r="U5" s="75">
        <f t="shared" si="0"/>
        <v>3.5000000000000003E-2</v>
      </c>
      <c r="V5" s="75">
        <f t="shared" si="0"/>
        <v>3.5000000000000003E-2</v>
      </c>
      <c r="W5" s="75">
        <f t="shared" si="0"/>
        <v>3.5000000000000003E-2</v>
      </c>
      <c r="X5" s="75">
        <f t="shared" si="0"/>
        <v>3.5000000000000003E-2</v>
      </c>
      <c r="Y5" s="75">
        <f t="shared" si="0"/>
        <v>3.5000000000000003E-2</v>
      </c>
      <c r="Z5" s="75">
        <f t="shared" si="0"/>
        <v>3.5000000000000003E-2</v>
      </c>
      <c r="AA5" s="75">
        <f t="shared" si="0"/>
        <v>3.5000000000000003E-2</v>
      </c>
      <c r="AB5" s="75">
        <f t="shared" si="0"/>
        <v>3.5000000000000003E-2</v>
      </c>
      <c r="AC5" s="75">
        <f t="shared" si="0"/>
        <v>3.5000000000000003E-2</v>
      </c>
      <c r="AD5" s="75">
        <f t="shared" si="0"/>
        <v>3.5000000000000003E-2</v>
      </c>
      <c r="AE5" s="75">
        <f t="shared" si="0"/>
        <v>3.5000000000000003E-2</v>
      </c>
      <c r="AF5" s="75">
        <f t="shared" si="0"/>
        <v>3.5000000000000003E-2</v>
      </c>
      <c r="AG5" s="75">
        <f t="shared" si="0"/>
        <v>3.5000000000000003E-2</v>
      </c>
      <c r="AH5" s="75">
        <f t="shared" si="0"/>
        <v>3.5000000000000003E-2</v>
      </c>
      <c r="AI5" s="75">
        <f t="shared" si="0"/>
        <v>3.5000000000000003E-2</v>
      </c>
      <c r="AJ5" s="75">
        <f t="shared" si="0"/>
        <v>3.5000000000000003E-2</v>
      </c>
      <c r="AK5" s="75">
        <f t="shared" si="0"/>
        <v>3.5000000000000003E-2</v>
      </c>
      <c r="AL5" s="75">
        <f t="shared" si="0"/>
        <v>3.5000000000000003E-2</v>
      </c>
      <c r="AM5" s="75">
        <f t="shared" si="0"/>
        <v>3.5000000000000003E-2</v>
      </c>
      <c r="AN5" s="75">
        <f>AM5</f>
        <v>3.5000000000000003E-2</v>
      </c>
      <c r="AO5" s="75">
        <f>AN5</f>
        <v>3.5000000000000003E-2</v>
      </c>
      <c r="AP5" s="75">
        <f>AO5</f>
        <v>3.5000000000000003E-2</v>
      </c>
    </row>
    <row r="7" spans="1:42" x14ac:dyDescent="0.25">
      <c r="A7" s="77" t="s">
        <v>38</v>
      </c>
      <c r="B7" s="78" t="s">
        <v>29</v>
      </c>
      <c r="C7" s="79">
        <v>0.25</v>
      </c>
    </row>
    <row r="8" spans="1:42" x14ac:dyDescent="0.25">
      <c r="A8" s="77" t="s">
        <v>39</v>
      </c>
      <c r="B8" s="78" t="s">
        <v>29</v>
      </c>
      <c r="C8" s="79">
        <v>-0.2</v>
      </c>
    </row>
    <row r="10" spans="1:42" x14ac:dyDescent="0.25">
      <c r="A10" s="80" t="s">
        <v>40</v>
      </c>
      <c r="B10" s="81" t="s">
        <v>41</v>
      </c>
      <c r="E10" s="80">
        <v>-2.5104961354764695E-2</v>
      </c>
      <c r="F10" s="80">
        <v>1.8285087719298227E-2</v>
      </c>
      <c r="G10" s="80">
        <v>1.8285087719298227E-2</v>
      </c>
      <c r="H10" s="80">
        <v>-7.4898921832884362E-3</v>
      </c>
      <c r="I10" s="80">
        <v>-1.9749999999999997E-2</v>
      </c>
      <c r="J10" s="80">
        <v>-1.5749999999999965E-2</v>
      </c>
      <c r="K10" s="80">
        <v>-1.7499999999999988E-2</v>
      </c>
      <c r="L10" s="80">
        <v>-3.585E-2</v>
      </c>
      <c r="M10" s="80">
        <v>2.3391968727789463E-3</v>
      </c>
      <c r="N10" s="80">
        <v>3.3843743543833056E-3</v>
      </c>
      <c r="O10" s="80">
        <v>4.4774673497167215E-3</v>
      </c>
      <c r="P10" s="80">
        <v>4.7499999999999834E-3</v>
      </c>
      <c r="Q10" s="80">
        <v>4.3499999999999962E-3</v>
      </c>
      <c r="R10" s="80">
        <v>4.3500000000000179E-3</v>
      </c>
      <c r="S10" s="80">
        <v>4.1500000000000183E-3</v>
      </c>
      <c r="T10" s="80">
        <v>3.9499999999999978E-3</v>
      </c>
      <c r="U10" s="80">
        <v>3.9499999999999926E-3</v>
      </c>
      <c r="V10" s="80">
        <v>3.9500000000000013E-3</v>
      </c>
      <c r="W10" s="80">
        <v>3.9499999999999856E-3</v>
      </c>
      <c r="X10" s="80">
        <v>3.9500000000000151E-3</v>
      </c>
      <c r="Y10" s="80">
        <v>3.9500000000000013E-3</v>
      </c>
      <c r="Z10" s="80">
        <v>3.9499999999999969E-3</v>
      </c>
      <c r="AA10" s="80">
        <v>3.9499999999999856E-3</v>
      </c>
      <c r="AB10" s="80">
        <v>3.950000000000016E-3</v>
      </c>
      <c r="AC10" s="80">
        <v>3.950000000000003E-3</v>
      </c>
      <c r="AD10" s="80">
        <v>3.9499999999999891E-3</v>
      </c>
      <c r="AE10" s="80">
        <v>3.94999999999999E-3</v>
      </c>
      <c r="AF10" s="80">
        <v>3.9499999999999969E-3</v>
      </c>
      <c r="AG10" s="80">
        <v>3.9499999999999735E-3</v>
      </c>
      <c r="AH10" s="80">
        <v>3.9500000000000056E-3</v>
      </c>
      <c r="AI10" s="80">
        <v>3.950000000000016E-3</v>
      </c>
      <c r="AJ10" s="80">
        <v>3.9499999999999778E-3</v>
      </c>
      <c r="AK10" s="80">
        <v>3.7500000000000267E-3</v>
      </c>
      <c r="AL10" s="80">
        <v>3.7500000000000189E-3</v>
      </c>
      <c r="AM10" s="80">
        <v>3.7499999999999964E-3</v>
      </c>
      <c r="AN10" s="80">
        <v>3.7500000000000103E-3</v>
      </c>
      <c r="AO10" s="80">
        <v>3.7500000000000181E-3</v>
      </c>
      <c r="AP10" s="80">
        <v>3.7500000000000198E-3</v>
      </c>
    </row>
    <row r="11" spans="1:42" x14ac:dyDescent="0.25">
      <c r="A11" s="80" t="s">
        <v>42</v>
      </c>
      <c r="B11" s="81" t="s">
        <v>41</v>
      </c>
      <c r="E11" s="80">
        <v>9.2797190648075019E-3</v>
      </c>
      <c r="F11" s="80">
        <v>1.7500000000000002E-2</v>
      </c>
      <c r="G11" s="80">
        <v>1.025E-2</v>
      </c>
      <c r="H11" s="80">
        <v>1.375E-2</v>
      </c>
      <c r="I11" s="80">
        <v>-1.4987569060773498E-2</v>
      </c>
      <c r="J11" s="80">
        <v>3.7611587775956846E-3</v>
      </c>
      <c r="K11" s="80">
        <v>-1.9394797824544816E-2</v>
      </c>
      <c r="L11" s="80">
        <v>-1.7223253809003063E-3</v>
      </c>
      <c r="M11" s="80">
        <v>6.1307330025708179E-4</v>
      </c>
      <c r="N11" s="80">
        <v>2.8775132503987078E-3</v>
      </c>
      <c r="O11" s="80">
        <v>2.8767615925469198E-3</v>
      </c>
      <c r="P11" s="80">
        <v>2.8760104694924207E-3</v>
      </c>
      <c r="Q11" s="80">
        <v>2.6346024005419006E-3</v>
      </c>
      <c r="R11" s="80">
        <v>2.874604369193459E-3</v>
      </c>
      <c r="S11" s="80">
        <v>2.9548185143011057E-3</v>
      </c>
      <c r="T11" s="80">
        <v>2.9536477362340939E-3</v>
      </c>
      <c r="U11" s="80">
        <v>2.9927258599121362E-3</v>
      </c>
      <c r="V11" s="80">
        <v>2.9511923724975494E-3</v>
      </c>
      <c r="W11" s="80">
        <v>2.9900275364279751E-3</v>
      </c>
      <c r="X11" s="80">
        <v>2.9646916362897173E-3</v>
      </c>
      <c r="Y11" s="80">
        <v>2.8475303229748708E-3</v>
      </c>
      <c r="Z11" s="80">
        <v>2.8860038661907769E-3</v>
      </c>
      <c r="AA11" s="80">
        <v>2.8687940260822848E-3</v>
      </c>
      <c r="AB11" s="80">
        <v>2.8674897145493424E-3</v>
      </c>
      <c r="AC11" s="80">
        <v>2.881891991914149E-3</v>
      </c>
      <c r="AD11" s="80">
        <v>2.9196258515748683E-3</v>
      </c>
      <c r="AE11" s="80">
        <v>2.8789628001218296E-3</v>
      </c>
      <c r="AF11" s="80">
        <v>2.7542428895536934E-3</v>
      </c>
      <c r="AG11" s="80">
        <v>2.7529952896274109E-3</v>
      </c>
      <c r="AH11" s="80">
        <v>2.7981047731426316E-3</v>
      </c>
      <c r="AI11" s="80">
        <v>2.7734581336559478E-3</v>
      </c>
      <c r="AJ11" s="80">
        <v>2.6336975099284215E-3</v>
      </c>
      <c r="AK11" s="80">
        <v>2.4942952042315064E-3</v>
      </c>
      <c r="AL11" s="80">
        <v>2.4170636782110556E-3</v>
      </c>
      <c r="AM11" s="80">
        <v>2.4698039769544084E-3</v>
      </c>
      <c r="AN11" s="80">
        <v>2.4689974974174932E-3</v>
      </c>
      <c r="AO11" s="80">
        <v>2.4530398168024657E-3</v>
      </c>
      <c r="AP11" s="80">
        <v>2.5776562784975057E-3</v>
      </c>
    </row>
    <row r="12" spans="1:42" x14ac:dyDescent="0.25">
      <c r="A12" s="80" t="s">
        <v>43</v>
      </c>
      <c r="B12" s="81" t="s">
        <v>41</v>
      </c>
      <c r="E12" s="80">
        <v>2.1206932099590309E-3</v>
      </c>
      <c r="F12" s="80">
        <v>1.0749999999999989E-2</v>
      </c>
      <c r="G12" s="80">
        <v>1.1249999999999989E-2</v>
      </c>
      <c r="H12" s="80">
        <v>-2.4999999999999328E-4</v>
      </c>
      <c r="I12" s="80">
        <v>-2.7000000000000079E-3</v>
      </c>
      <c r="J12" s="80">
        <v>1.8000000000000099E-3</v>
      </c>
      <c r="K12" s="80">
        <v>-2.3249999999999979E-2</v>
      </c>
      <c r="L12" s="80">
        <v>-3.0899999999999886E-3</v>
      </c>
      <c r="M12" s="80">
        <v>4.950000000000029E-3</v>
      </c>
      <c r="N12" s="80">
        <v>4.9500000000000169E-3</v>
      </c>
      <c r="O12" s="80">
        <v>4.9300000000000038E-3</v>
      </c>
      <c r="P12" s="80">
        <v>4.9500000000000256E-3</v>
      </c>
      <c r="Q12" s="80">
        <v>4.9500000000000308E-3</v>
      </c>
      <c r="R12" s="80">
        <v>4.9500000000000065E-3</v>
      </c>
      <c r="S12" s="80">
        <v>4.9500000000000247E-3</v>
      </c>
      <c r="T12" s="80">
        <v>4.9300000000000246E-3</v>
      </c>
      <c r="U12" s="80">
        <v>4.9099999999999769E-3</v>
      </c>
      <c r="V12" s="80">
        <v>4.8499999999999906E-3</v>
      </c>
      <c r="W12" s="80">
        <v>4.5500000000000254E-3</v>
      </c>
      <c r="X12" s="80">
        <v>4.4500000000000043E-3</v>
      </c>
      <c r="Y12" s="80">
        <v>4.2500000000000029E-3</v>
      </c>
      <c r="Z12" s="80">
        <v>3.9499999999999995E-3</v>
      </c>
      <c r="AA12" s="80">
        <v>3.7500000000000181E-3</v>
      </c>
      <c r="AB12" s="80">
        <v>3.7500000000000294E-3</v>
      </c>
      <c r="AC12" s="80">
        <v>3.5499999999999803E-3</v>
      </c>
      <c r="AD12" s="80">
        <v>3.5499999999999933E-3</v>
      </c>
      <c r="AE12" s="80">
        <v>3.3500000000000196E-3</v>
      </c>
      <c r="AF12" s="80">
        <v>3.2499999999999751E-3</v>
      </c>
      <c r="AG12" s="80">
        <v>3.249999999999976E-3</v>
      </c>
      <c r="AH12" s="80">
        <v>2.9500000000000012E-3</v>
      </c>
      <c r="AI12" s="80">
        <v>2.7499999999999886E-3</v>
      </c>
      <c r="AJ12" s="80">
        <v>2.350000000000004E-3</v>
      </c>
      <c r="AK12" s="80">
        <v>1.750000000000018E-3</v>
      </c>
      <c r="AL12" s="80">
        <v>9.5000000000000813E-4</v>
      </c>
      <c r="AM12" s="80">
        <v>1.3500000000000014E-3</v>
      </c>
      <c r="AN12" s="80">
        <v>1.3500000000000014E-3</v>
      </c>
      <c r="AO12" s="80">
        <v>1.32E-3</v>
      </c>
      <c r="AP12" s="80">
        <v>1.3699999999999999E-3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35" sqref="H35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B64794-5A13-48D3-826E-F358283BBA0F}"/>
</file>

<file path=customXml/itemProps2.xml><?xml version="1.0" encoding="utf-8"?>
<ds:datastoreItem xmlns:ds="http://schemas.openxmlformats.org/officeDocument/2006/customXml" ds:itemID="{7DC9BA9D-819F-4200-8D49-9F9F18BDB6E1}"/>
</file>

<file path=customXml/itemProps3.xml><?xml version="1.0" encoding="utf-8"?>
<ds:datastoreItem xmlns:ds="http://schemas.openxmlformats.org/officeDocument/2006/customXml" ds:itemID="{0F2BF2CB-DCA1-4EFB-97FC-DFBA3199A9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Prognoza Apa</vt:lpstr>
      <vt:lpstr>Prognoza BA</vt:lpstr>
      <vt:lpstr>IP</vt:lpstr>
      <vt:lpstr>PIB + FE</vt:lpstr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Aldea</dc:creator>
  <cp:lastModifiedBy>Aldea Alexandru</cp:lastModifiedBy>
  <dcterms:created xsi:type="dcterms:W3CDTF">2012-04-17T10:41:51Z</dcterms:created>
  <dcterms:modified xsi:type="dcterms:W3CDTF">2020-04-27T05:21:27Z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