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IM ATMP\COVASNA\Prognoza MP\Porognoze si indicatori\"/>
    </mc:Choice>
  </mc:AlternateContent>
  <xr:revisionPtr revIDLastSave="0" documentId="13_ncr:1_{240CFB98-FF3E-4680-B8AC-62799389EF6C}" xr6:coauthVersionLast="45" xr6:coauthVersionMax="45" xr10:uidLastSave="{00000000-0000-0000-0000-000000000000}"/>
  <bookViews>
    <workbookView xWindow="20370" yWindow="-120" windowWidth="20640" windowHeight="11760" tabRatio="799" xr2:uid="{00000000-000D-0000-FFFF-FFFF00000000}"/>
  </bookViews>
  <sheets>
    <sheet name="Prognoza Apa" sheetId="59" r:id="rId1"/>
    <sheet name="Prognoza BA" sheetId="86" r:id="rId2"/>
    <sheet name="IP" sheetId="88" r:id="rId3"/>
    <sheet name="PIB + FE" sheetId="85" r:id="rId4"/>
    <sheet name="Foaie1" sheetId="53" r:id="rId5"/>
  </sheets>
  <externalReferences>
    <externalReference r:id="rId6"/>
    <externalReference r:id="rId7"/>
    <externalReference r:id="rId8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5" i="86" l="1"/>
  <c r="L12" i="88"/>
  <c r="E8" i="59" l="1"/>
  <c r="F8" i="59"/>
  <c r="G8" i="59"/>
  <c r="H8" i="59"/>
  <c r="I8" i="59"/>
  <c r="J8" i="59"/>
  <c r="K8" i="59"/>
  <c r="L8" i="59"/>
  <c r="M8" i="59"/>
  <c r="N8" i="59"/>
  <c r="O8" i="59"/>
  <c r="P8" i="59"/>
  <c r="Q8" i="59"/>
  <c r="R8" i="59"/>
  <c r="S8" i="59"/>
  <c r="T8" i="59"/>
  <c r="U8" i="59"/>
  <c r="V8" i="59"/>
  <c r="W8" i="59"/>
  <c r="X8" i="59"/>
  <c r="Y8" i="59"/>
  <c r="Z8" i="59"/>
  <c r="AA8" i="59"/>
  <c r="AB8" i="59"/>
  <c r="AC8" i="59"/>
  <c r="AD8" i="59"/>
  <c r="AE8" i="59"/>
  <c r="AF8" i="59"/>
  <c r="AG8" i="59"/>
  <c r="AH8" i="59"/>
  <c r="D8" i="59"/>
  <c r="F14" i="88" l="1"/>
  <c r="F13" i="88"/>
  <c r="F12" i="88"/>
  <c r="F15" i="86"/>
  <c r="F14" i="86"/>
  <c r="F13" i="86"/>
  <c r="F12" i="86"/>
  <c r="F11" i="86"/>
  <c r="F10" i="86"/>
  <c r="F9" i="86"/>
  <c r="F8" i="86"/>
  <c r="F7" i="86"/>
  <c r="F6" i="86"/>
  <c r="F5" i="86"/>
  <c r="F4" i="86"/>
  <c r="D20" i="59"/>
  <c r="D14" i="59"/>
  <c r="D13" i="59"/>
  <c r="B7" i="59"/>
  <c r="AH12" i="59" l="1"/>
  <c r="R12" i="59" s="1"/>
  <c r="K12" i="59"/>
  <c r="L12" i="59" s="1"/>
  <c r="M12" i="59" s="1"/>
  <c r="N12" i="59" s="1"/>
  <c r="O12" i="59" s="1"/>
  <c r="P12" i="59" s="1"/>
  <c r="S12" i="59" l="1"/>
  <c r="T12" i="59" s="1"/>
  <c r="U12" i="59" s="1"/>
  <c r="V12" i="59" s="1"/>
  <c r="W12" i="59" s="1"/>
  <c r="X12" i="59" s="1"/>
  <c r="Y12" i="59" s="1"/>
  <c r="Z12" i="59" s="1"/>
  <c r="AA12" i="59" s="1"/>
  <c r="AB12" i="59" s="1"/>
  <c r="AC12" i="59" s="1"/>
  <c r="AD12" i="59" s="1"/>
  <c r="AE12" i="59" s="1"/>
  <c r="AF12" i="59" s="1"/>
  <c r="AG12" i="59" s="1"/>
  <c r="E14" i="59"/>
  <c r="F14" i="59" s="1"/>
  <c r="G14" i="59" s="1"/>
  <c r="H14" i="59" s="1"/>
  <c r="I14" i="59" s="1"/>
  <c r="J14" i="59" s="1"/>
  <c r="K14" i="59" s="1"/>
  <c r="L14" i="59" s="1"/>
  <c r="M14" i="59" s="1"/>
  <c r="N14" i="59" s="1"/>
  <c r="O14" i="59" s="1"/>
  <c r="P14" i="59" s="1"/>
  <c r="Q14" i="59" s="1"/>
  <c r="R14" i="59" s="1"/>
  <c r="S14" i="59" s="1"/>
  <c r="T14" i="59" s="1"/>
  <c r="U14" i="59" s="1"/>
  <c r="V14" i="59" s="1"/>
  <c r="W14" i="59" s="1"/>
  <c r="X14" i="59" s="1"/>
  <c r="Y14" i="59" s="1"/>
  <c r="Z14" i="59" s="1"/>
  <c r="AA14" i="59" s="1"/>
  <c r="AB14" i="59" s="1"/>
  <c r="AC14" i="59" s="1"/>
  <c r="AD14" i="59" s="1"/>
  <c r="AE14" i="59" s="1"/>
  <c r="AF14" i="59" s="1"/>
  <c r="AG14" i="59" s="1"/>
  <c r="AH14" i="59" s="1"/>
  <c r="G15" i="86" l="1"/>
  <c r="H15" i="86" s="1"/>
  <c r="I15" i="86" s="1"/>
  <c r="J15" i="86" s="1"/>
  <c r="K15" i="86" s="1"/>
  <c r="F22" i="59" l="1"/>
  <c r="G22" i="59" s="1"/>
  <c r="H22" i="59" s="1"/>
  <c r="I22" i="59" s="1"/>
  <c r="J22" i="59" s="1"/>
  <c r="K22" i="59" s="1"/>
  <c r="L22" i="59" s="1"/>
  <c r="M22" i="59" s="1"/>
  <c r="N22" i="59" s="1"/>
  <c r="O22" i="59" s="1"/>
  <c r="P22" i="59" s="1"/>
  <c r="Q22" i="59" s="1"/>
  <c r="R22" i="59" s="1"/>
  <c r="S22" i="59" s="1"/>
  <c r="T22" i="59" s="1"/>
  <c r="U22" i="59" s="1"/>
  <c r="V22" i="59" s="1"/>
  <c r="W22" i="59" s="1"/>
  <c r="X22" i="59" s="1"/>
  <c r="Y22" i="59" s="1"/>
  <c r="Z22" i="59" s="1"/>
  <c r="AA22" i="59" s="1"/>
  <c r="AB22" i="59" s="1"/>
  <c r="AC22" i="59" s="1"/>
  <c r="AD22" i="59" s="1"/>
  <c r="AE22" i="59" s="1"/>
  <c r="AF22" i="59" s="1"/>
  <c r="AG22" i="59" s="1"/>
  <c r="AH22" i="59" s="1"/>
  <c r="E22" i="59"/>
  <c r="A2" i="88" l="1"/>
  <c r="A2" i="86"/>
  <c r="B2" i="88"/>
  <c r="B2" i="86" l="1"/>
  <c r="G15" i="88"/>
  <c r="H15" i="88" s="1"/>
  <c r="I15" i="88" s="1"/>
  <c r="J15" i="88" s="1"/>
  <c r="K15" i="88" s="1"/>
  <c r="L15" i="88" s="1"/>
  <c r="M15" i="88" s="1"/>
  <c r="N15" i="88" s="1"/>
  <c r="O15" i="88" s="1"/>
  <c r="P15" i="88" s="1"/>
  <c r="Q15" i="88" s="1"/>
  <c r="R15" i="88" s="1"/>
  <c r="S15" i="88" s="1"/>
  <c r="T15" i="88" s="1"/>
  <c r="U15" i="88" s="1"/>
  <c r="V15" i="88" s="1"/>
  <c r="W15" i="88" s="1"/>
  <c r="X15" i="88" s="1"/>
  <c r="Y15" i="88" s="1"/>
  <c r="Z15" i="88" s="1"/>
  <c r="AA15" i="88" s="1"/>
  <c r="AB15" i="88" s="1"/>
  <c r="AC15" i="88" s="1"/>
  <c r="AD15" i="88" s="1"/>
  <c r="AE15" i="88" s="1"/>
  <c r="AF15" i="88" s="1"/>
  <c r="AG15" i="88" s="1"/>
  <c r="AH15" i="88" s="1"/>
  <c r="AI15" i="88" s="1"/>
  <c r="AJ15" i="88" s="1"/>
  <c r="G14" i="88"/>
  <c r="H14" i="88" s="1"/>
  <c r="G12" i="88"/>
  <c r="H12" i="88" s="1"/>
  <c r="F4" i="88"/>
  <c r="I14" i="88" l="1"/>
  <c r="J14" i="88" s="1"/>
  <c r="K14" i="88" s="1"/>
  <c r="L14" i="88" s="1"/>
  <c r="M14" i="88" s="1"/>
  <c r="N14" i="88" s="1"/>
  <c r="O14" i="88" s="1"/>
  <c r="P14" i="88" s="1"/>
  <c r="Q14" i="88" s="1"/>
  <c r="R14" i="88" s="1"/>
  <c r="S14" i="88" s="1"/>
  <c r="T14" i="88" s="1"/>
  <c r="U14" i="88" s="1"/>
  <c r="V14" i="88" s="1"/>
  <c r="W14" i="88" s="1"/>
  <c r="X14" i="88" s="1"/>
  <c r="Y14" i="88" s="1"/>
  <c r="Z14" i="88" s="1"/>
  <c r="AA14" i="88" s="1"/>
  <c r="AB14" i="88" s="1"/>
  <c r="AC14" i="88" s="1"/>
  <c r="AD14" i="88" s="1"/>
  <c r="AE14" i="88" s="1"/>
  <c r="AF14" i="88" s="1"/>
  <c r="AG14" i="88" s="1"/>
  <c r="AH14" i="88" s="1"/>
  <c r="AI14" i="88" s="1"/>
  <c r="AJ14" i="88" s="1"/>
  <c r="I12" i="88"/>
  <c r="G17" i="86"/>
  <c r="H17" i="86" s="1"/>
  <c r="I17" i="86" s="1"/>
  <c r="J17" i="86" s="1"/>
  <c r="K17" i="86" s="1"/>
  <c r="L17" i="86" s="1"/>
  <c r="M17" i="86" s="1"/>
  <c r="N17" i="86" s="1"/>
  <c r="O17" i="86" s="1"/>
  <c r="P17" i="86" s="1"/>
  <c r="Q17" i="86" s="1"/>
  <c r="R17" i="86" s="1"/>
  <c r="S17" i="86" s="1"/>
  <c r="T17" i="86" s="1"/>
  <c r="U17" i="86" s="1"/>
  <c r="V17" i="86" s="1"/>
  <c r="W17" i="86" s="1"/>
  <c r="X17" i="86" s="1"/>
  <c r="Y17" i="86" s="1"/>
  <c r="Z17" i="86" s="1"/>
  <c r="AA17" i="86" s="1"/>
  <c r="AB17" i="86" s="1"/>
  <c r="AC17" i="86" s="1"/>
  <c r="AD17" i="86" s="1"/>
  <c r="AE17" i="86" s="1"/>
  <c r="AF17" i="86" s="1"/>
  <c r="AG17" i="86" s="1"/>
  <c r="AH17" i="86" s="1"/>
  <c r="AI17" i="86" s="1"/>
  <c r="AJ17" i="86" s="1"/>
  <c r="G13" i="86"/>
  <c r="H13" i="86" s="1"/>
  <c r="I13" i="86" s="1"/>
  <c r="J13" i="86" s="1"/>
  <c r="F3" i="86"/>
  <c r="F3" i="88" s="1"/>
  <c r="F5" i="88" s="1"/>
  <c r="G10" i="86"/>
  <c r="H10" i="86" s="1"/>
  <c r="I10" i="86" s="1"/>
  <c r="J10" i="86" s="1"/>
  <c r="K10" i="86" s="1"/>
  <c r="L10" i="86" s="1"/>
  <c r="M10" i="86" s="1"/>
  <c r="N10" i="86" s="1"/>
  <c r="O10" i="86" s="1"/>
  <c r="P10" i="86" s="1"/>
  <c r="Q10" i="86" s="1"/>
  <c r="R10" i="86" s="1"/>
  <c r="S10" i="86" s="1"/>
  <c r="T10" i="86" s="1"/>
  <c r="U10" i="86" s="1"/>
  <c r="V10" i="86" s="1"/>
  <c r="W10" i="86" s="1"/>
  <c r="X10" i="86" s="1"/>
  <c r="Y10" i="86" s="1"/>
  <c r="Z10" i="86" s="1"/>
  <c r="AA10" i="86" s="1"/>
  <c r="AB10" i="86" s="1"/>
  <c r="AC10" i="86" s="1"/>
  <c r="AD10" i="86" s="1"/>
  <c r="AE10" i="86" s="1"/>
  <c r="AF10" i="86" s="1"/>
  <c r="AG10" i="86" s="1"/>
  <c r="AH10" i="86" s="1"/>
  <c r="AI10" i="86" s="1"/>
  <c r="AJ10" i="86" s="1"/>
  <c r="H7" i="86"/>
  <c r="I7" i="86" s="1"/>
  <c r="J7" i="86" s="1"/>
  <c r="K7" i="86" s="1"/>
  <c r="L7" i="86" s="1"/>
  <c r="M7" i="86" s="1"/>
  <c r="N7" i="86" s="1"/>
  <c r="O7" i="86" s="1"/>
  <c r="P7" i="86" s="1"/>
  <c r="Q7" i="86" s="1"/>
  <c r="R7" i="86" s="1"/>
  <c r="S7" i="86" s="1"/>
  <c r="T7" i="86" s="1"/>
  <c r="U7" i="86" s="1"/>
  <c r="V7" i="86" s="1"/>
  <c r="W7" i="86" s="1"/>
  <c r="X7" i="86" s="1"/>
  <c r="Y7" i="86" s="1"/>
  <c r="Z7" i="86" s="1"/>
  <c r="AA7" i="86" s="1"/>
  <c r="AB7" i="86" s="1"/>
  <c r="AC7" i="86" s="1"/>
  <c r="AD7" i="86" s="1"/>
  <c r="AE7" i="86" s="1"/>
  <c r="AF7" i="86" s="1"/>
  <c r="AG7" i="86" s="1"/>
  <c r="AH7" i="86" s="1"/>
  <c r="AI7" i="86" s="1"/>
  <c r="AJ7" i="86" s="1"/>
  <c r="F6" i="88" l="1"/>
  <c r="J12" i="88"/>
  <c r="G11" i="86"/>
  <c r="G9" i="86" s="1"/>
  <c r="D18" i="59"/>
  <c r="K13" i="86"/>
  <c r="L13" i="86" s="1"/>
  <c r="M13" i="86" s="1"/>
  <c r="N13" i="86" s="1"/>
  <c r="O13" i="86" s="1"/>
  <c r="P13" i="86" s="1"/>
  <c r="Q13" i="86" s="1"/>
  <c r="R13" i="86" s="1"/>
  <c r="S13" i="86" s="1"/>
  <c r="T13" i="86" s="1"/>
  <c r="U13" i="86" s="1"/>
  <c r="V13" i="86" s="1"/>
  <c r="W13" i="86" s="1"/>
  <c r="X13" i="86" s="1"/>
  <c r="Y13" i="86" s="1"/>
  <c r="Z13" i="86" s="1"/>
  <c r="AA13" i="86" s="1"/>
  <c r="AB13" i="86" s="1"/>
  <c r="AC13" i="86" s="1"/>
  <c r="AD13" i="86" s="1"/>
  <c r="AE13" i="86" s="1"/>
  <c r="AF13" i="86" s="1"/>
  <c r="AG13" i="86" s="1"/>
  <c r="AH13" i="86" s="1"/>
  <c r="AI13" i="86" s="1"/>
  <c r="AJ13" i="86" s="1"/>
  <c r="E20" i="59" l="1"/>
  <c r="F9" i="88"/>
  <c r="F7" i="88"/>
  <c r="H11" i="86"/>
  <c r="G6" i="88"/>
  <c r="K12" i="88"/>
  <c r="K27" i="59"/>
  <c r="L13" i="88" l="1"/>
  <c r="G9" i="88"/>
  <c r="H6" i="88"/>
  <c r="I11" i="86"/>
  <c r="H9" i="86"/>
  <c r="K9" i="59"/>
  <c r="F20" i="59" l="1"/>
  <c r="H9" i="88"/>
  <c r="I9" i="86"/>
  <c r="I6" i="88"/>
  <c r="M12" i="88"/>
  <c r="G20" i="59" l="1"/>
  <c r="I9" i="88"/>
  <c r="J6" i="88"/>
  <c r="J11" i="86"/>
  <c r="N12" i="88"/>
  <c r="M5" i="85"/>
  <c r="K11" i="86" l="1"/>
  <c r="J9" i="86"/>
  <c r="N5" i="85"/>
  <c r="O5" i="85" s="1"/>
  <c r="P5" i="85" s="1"/>
  <c r="Q5" i="85" s="1"/>
  <c r="R5" i="85" s="1"/>
  <c r="S5" i="85" s="1"/>
  <c r="T5" i="85" s="1"/>
  <c r="U5" i="85" s="1"/>
  <c r="V5" i="85" s="1"/>
  <c r="W5" i="85" s="1"/>
  <c r="X5" i="85" s="1"/>
  <c r="Y5" i="85" s="1"/>
  <c r="Z5" i="85" s="1"/>
  <c r="AA5" i="85" s="1"/>
  <c r="AB5" i="85" s="1"/>
  <c r="AC5" i="85" s="1"/>
  <c r="AD5" i="85" s="1"/>
  <c r="AE5" i="85" s="1"/>
  <c r="AF5" i="85" s="1"/>
  <c r="AG5" i="85" s="1"/>
  <c r="AH5" i="85" s="1"/>
  <c r="AI5" i="85" s="1"/>
  <c r="AJ5" i="85" s="1"/>
  <c r="AK5" i="85" s="1"/>
  <c r="AL5" i="85" s="1"/>
  <c r="AM5" i="85" s="1"/>
  <c r="AN5" i="85" s="1"/>
  <c r="AO5" i="85" s="1"/>
  <c r="AP5" i="85" s="1"/>
  <c r="J9" i="88"/>
  <c r="K6" i="88"/>
  <c r="O12" i="88"/>
  <c r="H20" i="59" l="1"/>
  <c r="K9" i="86"/>
  <c r="K9" i="88"/>
  <c r="P12" i="88"/>
  <c r="E9" i="59"/>
  <c r="F9" i="59" s="1"/>
  <c r="G9" i="59" s="1"/>
  <c r="H9" i="59" s="1"/>
  <c r="I9" i="59" s="1"/>
  <c r="I20" i="59" l="1"/>
  <c r="Q12" i="88"/>
  <c r="L9" i="59"/>
  <c r="M9" i="59" s="1"/>
  <c r="N9" i="59" s="1"/>
  <c r="O9" i="59" s="1"/>
  <c r="P9" i="59" s="1"/>
  <c r="Q9" i="59" s="1"/>
  <c r="R9" i="59" s="1"/>
  <c r="S9" i="59" s="1"/>
  <c r="T9" i="59" s="1"/>
  <c r="U9" i="59" s="1"/>
  <c r="V9" i="59" s="1"/>
  <c r="W9" i="59" s="1"/>
  <c r="X9" i="59" s="1"/>
  <c r="Y9" i="59" s="1"/>
  <c r="Z9" i="59" s="1"/>
  <c r="AA9" i="59" s="1"/>
  <c r="AB9" i="59" s="1"/>
  <c r="AC9" i="59" s="1"/>
  <c r="AD9" i="59" s="1"/>
  <c r="AE9" i="59" s="1"/>
  <c r="AF9" i="59" s="1"/>
  <c r="AG9" i="59" s="1"/>
  <c r="AH9" i="59" s="1"/>
  <c r="R12" i="88" l="1"/>
  <c r="S12" i="88" l="1"/>
  <c r="E11" i="59"/>
  <c r="F11" i="59"/>
  <c r="G11" i="59"/>
  <c r="H11" i="59"/>
  <c r="I11" i="59"/>
  <c r="J11" i="59"/>
  <c r="J13" i="59" s="1"/>
  <c r="K11" i="59"/>
  <c r="M11" i="59"/>
  <c r="N11" i="59"/>
  <c r="O11" i="59"/>
  <c r="P11" i="59"/>
  <c r="Q11" i="59"/>
  <c r="R11" i="59"/>
  <c r="S11" i="59"/>
  <c r="T11" i="59"/>
  <c r="U11" i="59"/>
  <c r="V11" i="59"/>
  <c r="W11" i="59"/>
  <c r="X11" i="59"/>
  <c r="Z11" i="59"/>
  <c r="AB11" i="59"/>
  <c r="AC11" i="59"/>
  <c r="AE11" i="59"/>
  <c r="AF11" i="59"/>
  <c r="AG11" i="59"/>
  <c r="D11" i="59"/>
  <c r="D12" i="59" s="1"/>
  <c r="E12" i="59" s="1"/>
  <c r="F12" i="59" s="1"/>
  <c r="G12" i="59" s="1"/>
  <c r="H12" i="59" s="1"/>
  <c r="I12" i="59" s="1"/>
  <c r="L11" i="59"/>
  <c r="AD11" i="59"/>
  <c r="D15" i="59"/>
  <c r="D24" i="59"/>
  <c r="L27" i="59"/>
  <c r="M27" i="59" s="1"/>
  <c r="N27" i="59" s="1"/>
  <c r="O27" i="59" s="1"/>
  <c r="P27" i="59" s="1"/>
  <c r="Q27" i="59" s="1"/>
  <c r="R27" i="59" s="1"/>
  <c r="S27" i="59" s="1"/>
  <c r="T27" i="59" s="1"/>
  <c r="U27" i="59" s="1"/>
  <c r="V27" i="59" s="1"/>
  <c r="W27" i="59" s="1"/>
  <c r="X27" i="59" s="1"/>
  <c r="Y27" i="59" s="1"/>
  <c r="Z27" i="59" s="1"/>
  <c r="AA27" i="59" s="1"/>
  <c r="AB27" i="59" s="1"/>
  <c r="AC27" i="59" s="1"/>
  <c r="AD27" i="59" s="1"/>
  <c r="AE27" i="59" s="1"/>
  <c r="AF27" i="59" s="1"/>
  <c r="AG27" i="59" s="1"/>
  <c r="AH27" i="59" s="1"/>
  <c r="T12" i="88" l="1"/>
  <c r="D28" i="59"/>
  <c r="D25" i="59"/>
  <c r="Y11" i="59"/>
  <c r="AA11" i="59"/>
  <c r="AH11" i="59"/>
  <c r="K13" i="59"/>
  <c r="N13" i="59"/>
  <c r="U12" i="88" l="1"/>
  <c r="AH13" i="59"/>
  <c r="D21" i="59"/>
  <c r="D19" i="59"/>
  <c r="D17" i="59"/>
  <c r="D23" i="59"/>
  <c r="Q13" i="59"/>
  <c r="T13" i="59"/>
  <c r="W13" i="59"/>
  <c r="S13" i="59"/>
  <c r="R13" i="59"/>
  <c r="U13" i="59"/>
  <c r="V13" i="59"/>
  <c r="Z13" i="59"/>
  <c r="Y13" i="59"/>
  <c r="X13" i="59"/>
  <c r="P13" i="59"/>
  <c r="O13" i="59"/>
  <c r="L13" i="59"/>
  <c r="M13" i="59"/>
  <c r="E13" i="59"/>
  <c r="F13" i="59"/>
  <c r="V12" i="88" l="1"/>
  <c r="E15" i="59"/>
  <c r="F15" i="59"/>
  <c r="AA13" i="59"/>
  <c r="G13" i="59"/>
  <c r="W12" i="88" l="1"/>
  <c r="G6" i="86"/>
  <c r="H6" i="86"/>
  <c r="G15" i="59"/>
  <c r="AB13" i="59"/>
  <c r="H13" i="59"/>
  <c r="X12" i="88" l="1"/>
  <c r="G14" i="86"/>
  <c r="G12" i="86" s="1"/>
  <c r="G8" i="86" s="1"/>
  <c r="G5" i="86"/>
  <c r="G4" i="86" s="1"/>
  <c r="H5" i="86"/>
  <c r="H4" i="86" s="1"/>
  <c r="H14" i="86"/>
  <c r="H12" i="86" s="1"/>
  <c r="H8" i="86" s="1"/>
  <c r="I6" i="86"/>
  <c r="H15" i="59"/>
  <c r="AC13" i="59"/>
  <c r="I13" i="59"/>
  <c r="Y12" i="88" l="1"/>
  <c r="F18" i="59"/>
  <c r="F28" i="59" s="1"/>
  <c r="E18" i="59"/>
  <c r="J6" i="86"/>
  <c r="I5" i="86"/>
  <c r="I4" i="86" s="1"/>
  <c r="I14" i="86"/>
  <c r="I12" i="86" s="1"/>
  <c r="I8" i="86" s="1"/>
  <c r="I15" i="59"/>
  <c r="J15" i="59"/>
  <c r="AD13" i="59"/>
  <c r="H3" i="86" l="1"/>
  <c r="H3" i="88" s="1"/>
  <c r="H7" i="88" s="1"/>
  <c r="H4" i="88"/>
  <c r="G3" i="86"/>
  <c r="G3" i="88" s="1"/>
  <c r="G7" i="88" s="1"/>
  <c r="G4" i="88"/>
  <c r="Z12" i="88"/>
  <c r="F24" i="59"/>
  <c r="F25" i="59" s="1"/>
  <c r="F17" i="59" s="1"/>
  <c r="G18" i="59"/>
  <c r="G24" i="59" s="1"/>
  <c r="G25" i="59" s="1"/>
  <c r="G19" i="59" s="1"/>
  <c r="E28" i="59"/>
  <c r="E24" i="59"/>
  <c r="E25" i="59" s="1"/>
  <c r="K6" i="86"/>
  <c r="J14" i="86"/>
  <c r="J12" i="86" s="1"/>
  <c r="J8" i="86" s="1"/>
  <c r="J5" i="86"/>
  <c r="J4" i="86" s="1"/>
  <c r="L6" i="86"/>
  <c r="K15" i="59"/>
  <c r="AE13" i="59"/>
  <c r="H5" i="88" l="1"/>
  <c r="I3" i="86"/>
  <c r="I3" i="88" s="1"/>
  <c r="I7" i="88" s="1"/>
  <c r="I4" i="88"/>
  <c r="G5" i="88"/>
  <c r="AA12" i="88"/>
  <c r="F21" i="59"/>
  <c r="F23" i="59"/>
  <c r="F19" i="59"/>
  <c r="E23" i="59"/>
  <c r="E19" i="59"/>
  <c r="E21" i="59"/>
  <c r="E17" i="59"/>
  <c r="G17" i="59"/>
  <c r="G21" i="59"/>
  <c r="G28" i="59"/>
  <c r="H18" i="59"/>
  <c r="H24" i="59" s="1"/>
  <c r="H25" i="59" s="1"/>
  <c r="H19" i="59" s="1"/>
  <c r="G23" i="59"/>
  <c r="K14" i="86"/>
  <c r="K12" i="86" s="1"/>
  <c r="K8" i="86" s="1"/>
  <c r="K5" i="86"/>
  <c r="K4" i="86" s="1"/>
  <c r="M6" i="86"/>
  <c r="L5" i="86"/>
  <c r="L4" i="86" s="1"/>
  <c r="L14" i="86"/>
  <c r="L12" i="86" s="1"/>
  <c r="L15" i="59"/>
  <c r="N6" i="86" s="1"/>
  <c r="AF13" i="59"/>
  <c r="J3" i="86" l="1"/>
  <c r="J3" i="88" s="1"/>
  <c r="J7" i="88" s="1"/>
  <c r="J4" i="88"/>
  <c r="I5" i="88"/>
  <c r="AB12" i="88"/>
  <c r="I18" i="59"/>
  <c r="I24" i="59" s="1"/>
  <c r="I25" i="59" s="1"/>
  <c r="H17" i="59"/>
  <c r="H21" i="59"/>
  <c r="H23" i="59"/>
  <c r="H28" i="59"/>
  <c r="M14" i="86"/>
  <c r="M12" i="86" s="1"/>
  <c r="M5" i="86"/>
  <c r="M4" i="86" s="1"/>
  <c r="N14" i="86"/>
  <c r="N12" i="86" s="1"/>
  <c r="N5" i="86"/>
  <c r="N4" i="86" s="1"/>
  <c r="M15" i="59"/>
  <c r="O6" i="86" s="1"/>
  <c r="AG13" i="59"/>
  <c r="I28" i="59" l="1"/>
  <c r="K3" i="86"/>
  <c r="K3" i="88" s="1"/>
  <c r="K7" i="88" s="1"/>
  <c r="K4" i="88"/>
  <c r="J5" i="88"/>
  <c r="AC12" i="88"/>
  <c r="I23" i="59"/>
  <c r="O14" i="86"/>
  <c r="O12" i="86" s="1"/>
  <c r="O5" i="86"/>
  <c r="O4" i="86" s="1"/>
  <c r="I21" i="59"/>
  <c r="I17" i="59"/>
  <c r="I19" i="59"/>
  <c r="N15" i="59"/>
  <c r="P6" i="86" s="1"/>
  <c r="K5" i="88" l="1"/>
  <c r="AD12" i="88"/>
  <c r="P5" i="86"/>
  <c r="P4" i="86" s="1"/>
  <c r="P14" i="86"/>
  <c r="P12" i="86" s="1"/>
  <c r="O15" i="59"/>
  <c r="Q6" i="86" s="1"/>
  <c r="AE12" i="88" l="1"/>
  <c r="Q5" i="86"/>
  <c r="Q4" i="86" s="1"/>
  <c r="Q14" i="86"/>
  <c r="Q12" i="86" s="1"/>
  <c r="P15" i="59"/>
  <c r="R6" i="86" s="1"/>
  <c r="AF12" i="88" l="1"/>
  <c r="R5" i="86"/>
  <c r="R4" i="86" s="1"/>
  <c r="R14" i="86"/>
  <c r="R12" i="86" s="1"/>
  <c r="Q15" i="59"/>
  <c r="S6" i="86" s="1"/>
  <c r="AG12" i="88" l="1"/>
  <c r="S5" i="86"/>
  <c r="S4" i="86" s="1"/>
  <c r="S14" i="86"/>
  <c r="S12" i="86" s="1"/>
  <c r="R15" i="59"/>
  <c r="T6" i="86" s="1"/>
  <c r="AH12" i="88" l="1"/>
  <c r="T5" i="86"/>
  <c r="T4" i="86" s="1"/>
  <c r="T14" i="86"/>
  <c r="T12" i="86" s="1"/>
  <c r="S15" i="59"/>
  <c r="U6" i="86" s="1"/>
  <c r="AI12" i="88" l="1"/>
  <c r="U14" i="86"/>
  <c r="U12" i="86" s="1"/>
  <c r="U5" i="86"/>
  <c r="U4" i="86" s="1"/>
  <c r="T15" i="59"/>
  <c r="V6" i="86" s="1"/>
  <c r="AJ12" i="88" l="1"/>
  <c r="V14" i="86"/>
  <c r="V12" i="86" s="1"/>
  <c r="V5" i="86"/>
  <c r="V4" i="86" s="1"/>
  <c r="U15" i="59"/>
  <c r="W6" i="86" s="1"/>
  <c r="W14" i="86" l="1"/>
  <c r="W12" i="86" s="1"/>
  <c r="W5" i="86"/>
  <c r="W4" i="86" s="1"/>
  <c r="V15" i="59"/>
  <c r="X6" i="86" s="1"/>
  <c r="X5" i="86" l="1"/>
  <c r="X4" i="86" s="1"/>
  <c r="X14" i="86"/>
  <c r="X12" i="86" s="1"/>
  <c r="W15" i="59"/>
  <c r="Y6" i="86" s="1"/>
  <c r="Y5" i="86" l="1"/>
  <c r="Y4" i="86" s="1"/>
  <c r="Y14" i="86"/>
  <c r="Y12" i="86" s="1"/>
  <c r="X15" i="59"/>
  <c r="Z6" i="86" s="1"/>
  <c r="Z5" i="86" l="1"/>
  <c r="Z4" i="86" s="1"/>
  <c r="Z14" i="86"/>
  <c r="Z12" i="86" s="1"/>
  <c r="Y15" i="59"/>
  <c r="AA6" i="86" s="1"/>
  <c r="AA5" i="86" l="1"/>
  <c r="AA4" i="86" s="1"/>
  <c r="AA14" i="86"/>
  <c r="AA12" i="86" s="1"/>
  <c r="Z15" i="59"/>
  <c r="AB6" i="86" s="1"/>
  <c r="AB5" i="86" l="1"/>
  <c r="AB4" i="86" s="1"/>
  <c r="AB14" i="86"/>
  <c r="AB12" i="86" s="1"/>
  <c r="AA15" i="59"/>
  <c r="AC6" i="86" s="1"/>
  <c r="AC14" i="86" l="1"/>
  <c r="AC12" i="86" s="1"/>
  <c r="AC5" i="86"/>
  <c r="AC4" i="86" s="1"/>
  <c r="AB15" i="59"/>
  <c r="AD6" i="86" s="1"/>
  <c r="AD14" i="86" l="1"/>
  <c r="AD12" i="86" s="1"/>
  <c r="AD5" i="86"/>
  <c r="AD4" i="86" s="1"/>
  <c r="AC15" i="59"/>
  <c r="AE6" i="86" s="1"/>
  <c r="AE14" i="86" l="1"/>
  <c r="AE12" i="86" s="1"/>
  <c r="AE5" i="86"/>
  <c r="AE4" i="86" s="1"/>
  <c r="AD15" i="59"/>
  <c r="AF6" i="86" s="1"/>
  <c r="AF5" i="86" l="1"/>
  <c r="AF4" i="86" s="1"/>
  <c r="AF14" i="86"/>
  <c r="AF12" i="86" s="1"/>
  <c r="AE15" i="59"/>
  <c r="AG6" i="86" s="1"/>
  <c r="AG5" i="86" l="1"/>
  <c r="AG4" i="86" s="1"/>
  <c r="AG14" i="86"/>
  <c r="AG12" i="86" s="1"/>
  <c r="AF15" i="59"/>
  <c r="AH6" i="86" s="1"/>
  <c r="AH5" i="86" l="1"/>
  <c r="AH4" i="86" s="1"/>
  <c r="AH14" i="86"/>
  <c r="AH12" i="86" s="1"/>
  <c r="AG15" i="59"/>
  <c r="AI6" i="86" s="1"/>
  <c r="AI5" i="86" l="1"/>
  <c r="AI4" i="86" s="1"/>
  <c r="AI14" i="86"/>
  <c r="AI12" i="86" s="1"/>
  <c r="AH15" i="59" l="1"/>
  <c r="AJ6" i="86" s="1"/>
  <c r="AJ5" i="86" l="1"/>
  <c r="AJ4" i="86" s="1"/>
  <c r="AJ14" i="86"/>
  <c r="AJ12" i="86" s="1"/>
  <c r="G13" i="88" l="1"/>
  <c r="F10" i="88"/>
  <c r="F11" i="88" s="1"/>
  <c r="F8" i="88"/>
  <c r="G10" i="88" l="1"/>
  <c r="G11" i="88" s="1"/>
  <c r="H13" i="88"/>
  <c r="G8" i="88"/>
  <c r="H10" i="88" l="1"/>
  <c r="H11" i="88" s="1"/>
  <c r="I13" i="88"/>
  <c r="H8" i="88"/>
  <c r="J13" i="88" l="1"/>
  <c r="I10" i="88"/>
  <c r="I11" i="88" s="1"/>
  <c r="I8" i="88"/>
  <c r="J10" i="88" l="1"/>
  <c r="J11" i="88" s="1"/>
  <c r="K13" i="88"/>
  <c r="J8" i="88"/>
  <c r="K10" i="88" l="1"/>
  <c r="K11" i="88" s="1"/>
  <c r="K8" i="88"/>
  <c r="M13" i="88" l="1"/>
  <c r="L10" i="88"/>
  <c r="L6" i="88" l="1"/>
  <c r="M10" i="88"/>
  <c r="N13" i="88"/>
  <c r="J18" i="59" l="1"/>
  <c r="L11" i="86"/>
  <c r="M15" i="86"/>
  <c r="O13" i="88"/>
  <c r="N10" i="88"/>
  <c r="L9" i="88"/>
  <c r="L8" i="88"/>
  <c r="L11" i="88"/>
  <c r="M11" i="86" l="1"/>
  <c r="M6" i="88"/>
  <c r="M11" i="88" s="1"/>
  <c r="N15" i="86"/>
  <c r="L18" i="59" s="1"/>
  <c r="K18" i="59"/>
  <c r="C30" i="59" s="1"/>
  <c r="P13" i="88"/>
  <c r="O10" i="88"/>
  <c r="N11" i="86" l="1"/>
  <c r="M8" i="88"/>
  <c r="M9" i="88"/>
  <c r="O15" i="86"/>
  <c r="N6" i="88"/>
  <c r="N9" i="88" s="1"/>
  <c r="Q13" i="88"/>
  <c r="P10" i="88"/>
  <c r="O11" i="86" l="1"/>
  <c r="N8" i="88"/>
  <c r="N11" i="88"/>
  <c r="O6" i="88"/>
  <c r="O8" i="88" s="1"/>
  <c r="M18" i="59"/>
  <c r="P15" i="86"/>
  <c r="O11" i="88"/>
  <c r="O9" i="88"/>
  <c r="Q10" i="88"/>
  <c r="R13" i="88"/>
  <c r="P11" i="86" l="1"/>
  <c r="N18" i="59"/>
  <c r="P6" i="88"/>
  <c r="P9" i="88" s="1"/>
  <c r="Q15" i="86"/>
  <c r="R15" i="86" s="1"/>
  <c r="S13" i="88"/>
  <c r="R10" i="88"/>
  <c r="O18" i="59" l="1"/>
  <c r="P11" i="88"/>
  <c r="P8" i="88"/>
  <c r="R11" i="86"/>
  <c r="Q11" i="86"/>
  <c r="Q6" i="88"/>
  <c r="Q11" i="88" s="1"/>
  <c r="R6" i="88"/>
  <c r="S15" i="86"/>
  <c r="P18" i="59"/>
  <c r="S10" i="88"/>
  <c r="T13" i="88"/>
  <c r="S11" i="86" l="1"/>
  <c r="Q8" i="88"/>
  <c r="Q9" i="88"/>
  <c r="S6" i="88"/>
  <c r="T15" i="86"/>
  <c r="Q18" i="59"/>
  <c r="T10" i="88"/>
  <c r="U13" i="88"/>
  <c r="R9" i="88"/>
  <c r="R8" i="88"/>
  <c r="R11" i="88"/>
  <c r="T11" i="86" l="1"/>
  <c r="U10" i="88"/>
  <c r="V13" i="88"/>
  <c r="U15" i="86"/>
  <c r="T6" i="88"/>
  <c r="R18" i="59"/>
  <c r="S11" i="88"/>
  <c r="S9" i="88"/>
  <c r="S8" i="88"/>
  <c r="U11" i="86" l="1"/>
  <c r="W13" i="88"/>
  <c r="V10" i="88"/>
  <c r="T11" i="88"/>
  <c r="T9" i="88"/>
  <c r="T8" i="88"/>
  <c r="V15" i="86"/>
  <c r="U6" i="88"/>
  <c r="S18" i="59"/>
  <c r="V11" i="86" l="1"/>
  <c r="W10" i="88"/>
  <c r="X13" i="88"/>
  <c r="W15" i="86"/>
  <c r="V6" i="88"/>
  <c r="T18" i="59"/>
  <c r="U9" i="88"/>
  <c r="U8" i="88"/>
  <c r="U11" i="88"/>
  <c r="W11" i="86" l="1"/>
  <c r="W6" i="88"/>
  <c r="X15" i="86"/>
  <c r="U18" i="59"/>
  <c r="X10" i="88"/>
  <c r="Y13" i="88"/>
  <c r="V11" i="88"/>
  <c r="V9" i="88"/>
  <c r="V8" i="88"/>
  <c r="X11" i="86" l="1"/>
  <c r="Y10" i="88"/>
  <c r="Z13" i="88"/>
  <c r="Y15" i="86"/>
  <c r="X6" i="88"/>
  <c r="V18" i="59"/>
  <c r="W9" i="88"/>
  <c r="W8" i="88"/>
  <c r="W11" i="88"/>
  <c r="Y11" i="86" l="1"/>
  <c r="Z10" i="88"/>
  <c r="AA13" i="88"/>
  <c r="X9" i="88"/>
  <c r="X11" i="88"/>
  <c r="X8" i="88"/>
  <c r="Z15" i="86"/>
  <c r="Y6" i="88"/>
  <c r="W18" i="59"/>
  <c r="Z11" i="86" l="1"/>
  <c r="Y9" i="88"/>
  <c r="Y11" i="88"/>
  <c r="Y8" i="88"/>
  <c r="Z6" i="88"/>
  <c r="AA15" i="86"/>
  <c r="X18" i="59"/>
  <c r="AA10" i="88"/>
  <c r="AB13" i="88"/>
  <c r="AA11" i="86" l="1"/>
  <c r="Z9" i="88"/>
  <c r="Z8" i="88"/>
  <c r="Z11" i="88"/>
  <c r="AB15" i="86"/>
  <c r="AA6" i="88"/>
  <c r="Y18" i="59"/>
  <c r="AB10" i="88"/>
  <c r="AC13" i="88"/>
  <c r="AB11" i="86" l="1"/>
  <c r="AC10" i="88"/>
  <c r="AD13" i="88"/>
  <c r="AA11" i="88"/>
  <c r="AA9" i="88"/>
  <c r="AA8" i="88"/>
  <c r="AB6" i="88"/>
  <c r="AC15" i="86"/>
  <c r="Z18" i="59"/>
  <c r="AC11" i="86" l="1"/>
  <c r="AE13" i="88"/>
  <c r="AD10" i="88"/>
  <c r="AC6" i="88"/>
  <c r="AD15" i="86"/>
  <c r="AA18" i="59"/>
  <c r="AB11" i="88"/>
  <c r="AB9" i="88"/>
  <c r="AB8" i="88"/>
  <c r="AD11" i="86" l="1"/>
  <c r="AE15" i="86"/>
  <c r="AD6" i="88"/>
  <c r="AB18" i="59"/>
  <c r="AF13" i="88"/>
  <c r="AE10" i="88"/>
  <c r="AC9" i="88"/>
  <c r="AC11" i="88"/>
  <c r="AC8" i="88"/>
  <c r="AE11" i="86" l="1"/>
  <c r="AD11" i="88"/>
  <c r="AD9" i="88"/>
  <c r="AD8" i="88"/>
  <c r="AF15" i="86"/>
  <c r="AE6" i="88"/>
  <c r="AC18" i="59"/>
  <c r="AF10" i="88"/>
  <c r="AG13" i="88"/>
  <c r="AF11" i="86" l="1"/>
  <c r="AE11" i="88"/>
  <c r="AE9" i="88"/>
  <c r="AE8" i="88"/>
  <c r="AG10" i="88"/>
  <c r="AH13" i="88"/>
  <c r="AG15" i="86"/>
  <c r="AF6" i="88"/>
  <c r="AD18" i="59"/>
  <c r="AG11" i="86" l="1"/>
  <c r="AH15" i="86"/>
  <c r="AG6" i="88"/>
  <c r="AE18" i="59"/>
  <c r="AH10" i="88"/>
  <c r="AI13" i="88"/>
  <c r="AF9" i="88"/>
  <c r="AF11" i="88"/>
  <c r="AF8" i="88"/>
  <c r="AH11" i="86" l="1"/>
  <c r="AI10" i="88"/>
  <c r="AJ13" i="88"/>
  <c r="AJ10" i="88" s="1"/>
  <c r="AG11" i="88"/>
  <c r="AG8" i="88"/>
  <c r="AG9" i="88"/>
  <c r="AH6" i="88"/>
  <c r="AI15" i="86"/>
  <c r="AF18" i="59"/>
  <c r="AI11" i="86" l="1"/>
  <c r="AI6" i="88"/>
  <c r="AJ15" i="86"/>
  <c r="AG18" i="59"/>
  <c r="AH9" i="88"/>
  <c r="AH8" i="88"/>
  <c r="AH11" i="88"/>
  <c r="AJ11" i="86" l="1"/>
  <c r="AI9" i="88"/>
  <c r="AI8" i="88"/>
  <c r="AI11" i="88"/>
  <c r="AJ6" i="88"/>
  <c r="AH18" i="59"/>
  <c r="AJ9" i="88" l="1"/>
  <c r="AJ11" i="88"/>
  <c r="AJ8" i="88"/>
  <c r="M9" i="86"/>
  <c r="L9" i="86"/>
  <c r="L8" i="86" s="1"/>
  <c r="L4" i="88" s="1"/>
  <c r="K20" i="59" l="1"/>
  <c r="M8" i="86"/>
  <c r="M4" i="88" s="1"/>
  <c r="L3" i="86"/>
  <c r="L3" i="88" s="1"/>
  <c r="L5" i="88" s="1"/>
  <c r="J20" i="59"/>
  <c r="M3" i="86" l="1"/>
  <c r="M3" i="88" s="1"/>
  <c r="M5" i="88" s="1"/>
  <c r="L7" i="88"/>
  <c r="N9" i="86"/>
  <c r="J28" i="59"/>
  <c r="J24" i="59"/>
  <c r="K24" i="59"/>
  <c r="K28" i="59"/>
  <c r="K26" i="59" s="1"/>
  <c r="M7" i="88" l="1"/>
  <c r="L20" i="59"/>
  <c r="N8" i="86"/>
  <c r="N4" i="88" s="1"/>
  <c r="O9" i="86"/>
  <c r="J25" i="59"/>
  <c r="J23" i="59" s="1"/>
  <c r="J26" i="59"/>
  <c r="J31" i="59"/>
  <c r="K25" i="59"/>
  <c r="N3" i="86" l="1"/>
  <c r="N3" i="88" s="1"/>
  <c r="N7" i="88" s="1"/>
  <c r="M20" i="59"/>
  <c r="O8" i="86"/>
  <c r="O4" i="88" s="1"/>
  <c r="K19" i="59"/>
  <c r="K17" i="59"/>
  <c r="K21" i="59"/>
  <c r="L28" i="59"/>
  <c r="L26" i="59" s="1"/>
  <c r="L24" i="59"/>
  <c r="K23" i="59"/>
  <c r="J17" i="59"/>
  <c r="J19" i="59"/>
  <c r="J21" i="59"/>
  <c r="P9" i="86"/>
  <c r="O3" i="86" l="1"/>
  <c r="O3" i="88" s="1"/>
  <c r="O7" i="88" s="1"/>
  <c r="N5" i="88"/>
  <c r="N20" i="59"/>
  <c r="P8" i="86"/>
  <c r="P4" i="88" s="1"/>
  <c r="M28" i="59"/>
  <c r="M26" i="59" s="1"/>
  <c r="M24" i="59"/>
  <c r="Q9" i="86"/>
  <c r="L25" i="59"/>
  <c r="O5" i="88" l="1"/>
  <c r="O20" i="59"/>
  <c r="Q8" i="86"/>
  <c r="Q4" i="88" s="1"/>
  <c r="P3" i="86"/>
  <c r="P3" i="88" s="1"/>
  <c r="P5" i="88" s="1"/>
  <c r="M25" i="59"/>
  <c r="M23" i="59" s="1"/>
  <c r="L19" i="59"/>
  <c r="L17" i="59"/>
  <c r="L21" i="59"/>
  <c r="L23" i="59"/>
  <c r="R9" i="86"/>
  <c r="N24" i="59"/>
  <c r="N28" i="59"/>
  <c r="N26" i="59" s="1"/>
  <c r="Q3" i="86" l="1"/>
  <c r="Q3" i="88" s="1"/>
  <c r="Q7" i="88" s="1"/>
  <c r="P7" i="88"/>
  <c r="P20" i="59"/>
  <c r="R8" i="86"/>
  <c r="R4" i="88" s="1"/>
  <c r="O28" i="59"/>
  <c r="O26" i="59" s="1"/>
  <c r="O24" i="59"/>
  <c r="N25" i="59"/>
  <c r="S9" i="86"/>
  <c r="M17" i="59"/>
  <c r="M19" i="59"/>
  <c r="M21" i="59"/>
  <c r="Q5" i="88" l="1"/>
  <c r="R3" i="86"/>
  <c r="R3" i="88" s="1"/>
  <c r="R5" i="88" s="1"/>
  <c r="Q20" i="59"/>
  <c r="S8" i="86"/>
  <c r="S4" i="88" s="1"/>
  <c r="O25" i="59"/>
  <c r="O23" i="59" s="1"/>
  <c r="P24" i="59"/>
  <c r="P28" i="59"/>
  <c r="P26" i="59" s="1"/>
  <c r="T9" i="86"/>
  <c r="N17" i="59"/>
  <c r="N19" i="59"/>
  <c r="N21" i="59"/>
  <c r="N23" i="59"/>
  <c r="S3" i="86" l="1"/>
  <c r="S3" i="88" s="1"/>
  <c r="S5" i="88" s="1"/>
  <c r="R7" i="88"/>
  <c r="R20" i="59"/>
  <c r="T8" i="86"/>
  <c r="T4" i="88" s="1"/>
  <c r="O17" i="59"/>
  <c r="O19" i="59"/>
  <c r="O21" i="59"/>
  <c r="U9" i="86"/>
  <c r="Q28" i="59"/>
  <c r="Q26" i="59" s="1"/>
  <c r="Q24" i="59"/>
  <c r="P25" i="59"/>
  <c r="S7" i="88" l="1"/>
  <c r="S20" i="59"/>
  <c r="U8" i="86"/>
  <c r="U4" i="88" s="1"/>
  <c r="T3" i="86"/>
  <c r="T3" i="88" s="1"/>
  <c r="T5" i="88" s="1"/>
  <c r="R24" i="59"/>
  <c r="R28" i="59"/>
  <c r="R26" i="59" s="1"/>
  <c r="P19" i="59"/>
  <c r="P17" i="59"/>
  <c r="P21" i="59"/>
  <c r="P23" i="59"/>
  <c r="V9" i="86"/>
  <c r="Q25" i="59"/>
  <c r="Q23" i="59" s="1"/>
  <c r="U3" i="86" l="1"/>
  <c r="U3" i="88" s="1"/>
  <c r="U7" i="88" s="1"/>
  <c r="T7" i="88"/>
  <c r="T20" i="59"/>
  <c r="V8" i="86"/>
  <c r="V4" i="88" s="1"/>
  <c r="W9" i="86"/>
  <c r="R25" i="59"/>
  <c r="Q19" i="59"/>
  <c r="Q17" i="59"/>
  <c r="Q21" i="59"/>
  <c r="S24" i="59"/>
  <c r="S28" i="59"/>
  <c r="S26" i="59" s="1"/>
  <c r="U5" i="88" l="1"/>
  <c r="V3" i="86"/>
  <c r="V3" i="88" s="1"/>
  <c r="V7" i="88" s="1"/>
  <c r="U20" i="59"/>
  <c r="W8" i="86"/>
  <c r="W4" i="88" s="1"/>
  <c r="S25" i="59"/>
  <c r="X9" i="86"/>
  <c r="T24" i="59"/>
  <c r="T28" i="59"/>
  <c r="T26" i="59" s="1"/>
  <c r="R17" i="59"/>
  <c r="R19" i="59"/>
  <c r="R21" i="59"/>
  <c r="R23" i="59"/>
  <c r="W3" i="86" l="1"/>
  <c r="W3" i="88" s="1"/>
  <c r="W7" i="88" s="1"/>
  <c r="V5" i="88"/>
  <c r="V20" i="59"/>
  <c r="X8" i="86"/>
  <c r="X4" i="88" s="1"/>
  <c r="Y9" i="86"/>
  <c r="T25" i="59"/>
  <c r="T23" i="59" s="1"/>
  <c r="U24" i="59"/>
  <c r="U28" i="59"/>
  <c r="U26" i="59" s="1"/>
  <c r="S19" i="59"/>
  <c r="S17" i="59"/>
  <c r="S21" i="59"/>
  <c r="S23" i="59"/>
  <c r="W5" i="88" l="1"/>
  <c r="W20" i="59"/>
  <c r="Y8" i="86"/>
  <c r="Y4" i="88" s="1"/>
  <c r="X3" i="86"/>
  <c r="X3" i="88" s="1"/>
  <c r="X5" i="88" s="1"/>
  <c r="T19" i="59"/>
  <c r="T17" i="59"/>
  <c r="T21" i="59"/>
  <c r="Z9" i="86"/>
  <c r="U25" i="59"/>
  <c r="V28" i="59"/>
  <c r="V26" i="59" s="1"/>
  <c r="V24" i="59"/>
  <c r="Y3" i="86" l="1"/>
  <c r="Y3" i="88" s="1"/>
  <c r="Y7" i="88" s="1"/>
  <c r="X7" i="88"/>
  <c r="X20" i="59"/>
  <c r="Z8" i="86"/>
  <c r="Z4" i="88" s="1"/>
  <c r="W28" i="59"/>
  <c r="W26" i="59" s="1"/>
  <c r="W24" i="59"/>
  <c r="U17" i="59"/>
  <c r="U19" i="59"/>
  <c r="U21" i="59"/>
  <c r="AA9" i="86"/>
  <c r="V25" i="59"/>
  <c r="U23" i="59"/>
  <c r="Z3" i="86" l="1"/>
  <c r="Z3" i="88" s="1"/>
  <c r="Z5" i="88" s="1"/>
  <c r="Y5" i="88"/>
  <c r="Y20" i="59"/>
  <c r="AA8" i="86"/>
  <c r="AA4" i="88" s="1"/>
  <c r="V17" i="59"/>
  <c r="V19" i="59"/>
  <c r="V21" i="59"/>
  <c r="X28" i="59"/>
  <c r="X26" i="59" s="1"/>
  <c r="X24" i="59"/>
  <c r="V23" i="59"/>
  <c r="W25" i="59"/>
  <c r="AB9" i="86"/>
  <c r="Z7" i="88" l="1"/>
  <c r="AA3" i="86"/>
  <c r="AA3" i="88" s="1"/>
  <c r="AA7" i="88" s="1"/>
  <c r="Z20" i="59"/>
  <c r="AB8" i="86"/>
  <c r="AB4" i="88" s="1"/>
  <c r="Y24" i="59"/>
  <c r="Y28" i="59"/>
  <c r="Y26" i="59" s="1"/>
  <c r="AC9" i="86"/>
  <c r="W17" i="59"/>
  <c r="W19" i="59"/>
  <c r="W21" i="59"/>
  <c r="W23" i="59"/>
  <c r="X25" i="59"/>
  <c r="X23" i="59" s="1"/>
  <c r="AB3" i="86" l="1"/>
  <c r="AB3" i="88" s="1"/>
  <c r="AB7" i="88" s="1"/>
  <c r="AA5" i="88"/>
  <c r="AA20" i="59"/>
  <c r="AC8" i="86"/>
  <c r="AC4" i="88" s="1"/>
  <c r="Z24" i="59"/>
  <c r="Z28" i="59"/>
  <c r="Z26" i="59" s="1"/>
  <c r="X19" i="59"/>
  <c r="X17" i="59"/>
  <c r="X21" i="59"/>
  <c r="AD9" i="86"/>
  <c r="Y25" i="59"/>
  <c r="Y23" i="59" s="1"/>
  <c r="AB5" i="88" l="1"/>
  <c r="AC3" i="86"/>
  <c r="AC3" i="88" s="1"/>
  <c r="AC5" i="88" s="1"/>
  <c r="AB20" i="59"/>
  <c r="AD8" i="86"/>
  <c r="AD4" i="88" s="1"/>
  <c r="Y17" i="59"/>
  <c r="Y19" i="59"/>
  <c r="Y21" i="59"/>
  <c r="AA24" i="59"/>
  <c r="AA28" i="59"/>
  <c r="AA26" i="59" s="1"/>
  <c r="Z25" i="59"/>
  <c r="AE9" i="86"/>
  <c r="AC7" i="88" l="1"/>
  <c r="AD3" i="86"/>
  <c r="AD3" i="88" s="1"/>
  <c r="AD5" i="88" s="1"/>
  <c r="AC20" i="59"/>
  <c r="AE8" i="86"/>
  <c r="AE4" i="88" s="1"/>
  <c r="AF9" i="86"/>
  <c r="Z19" i="59"/>
  <c r="Z17" i="59"/>
  <c r="Z21" i="59"/>
  <c r="Z23" i="59"/>
  <c r="AA25" i="59"/>
  <c r="AA23" i="59" s="1"/>
  <c r="AB28" i="59"/>
  <c r="AB26" i="59" s="1"/>
  <c r="AB24" i="59"/>
  <c r="AE3" i="86" l="1"/>
  <c r="AE3" i="88" s="1"/>
  <c r="AE5" i="88" s="1"/>
  <c r="AD7" i="88"/>
  <c r="AD20" i="59"/>
  <c r="AF8" i="86"/>
  <c r="AF4" i="88" s="1"/>
  <c r="AC28" i="59"/>
  <c r="AC26" i="59" s="1"/>
  <c r="AC24" i="59"/>
  <c r="AB25" i="59"/>
  <c r="AB23" i="59" s="1"/>
  <c r="AA19" i="59"/>
  <c r="AA17" i="59"/>
  <c r="AA21" i="59"/>
  <c r="AG9" i="86"/>
  <c r="AE7" i="88" l="1"/>
  <c r="AE20" i="59"/>
  <c r="AG8" i="86"/>
  <c r="AG4" i="88" s="1"/>
  <c r="AF3" i="86"/>
  <c r="AF3" i="88" s="1"/>
  <c r="AF7" i="88" s="1"/>
  <c r="AH9" i="86"/>
  <c r="AB17" i="59"/>
  <c r="AB19" i="59"/>
  <c r="AB21" i="59"/>
  <c r="AC25" i="59"/>
  <c r="AD24" i="59"/>
  <c r="AD28" i="59"/>
  <c r="AD26" i="59" s="1"/>
  <c r="AG3" i="86" l="1"/>
  <c r="AG3" i="88" s="1"/>
  <c r="AG7" i="88" s="1"/>
  <c r="AF5" i="88"/>
  <c r="AF20" i="59"/>
  <c r="AH8" i="86"/>
  <c r="AH4" i="88" s="1"/>
  <c r="AC17" i="59"/>
  <c r="AC19" i="59"/>
  <c r="AC21" i="59"/>
  <c r="AD25" i="59"/>
  <c r="AD23" i="59" s="1"/>
  <c r="AE28" i="59"/>
  <c r="AE26" i="59" s="1"/>
  <c r="AE24" i="59"/>
  <c r="AJ9" i="86"/>
  <c r="AI9" i="86"/>
  <c r="AC23" i="59"/>
  <c r="AH3" i="86" l="1"/>
  <c r="AH3" i="88" s="1"/>
  <c r="AH7" i="88" s="1"/>
  <c r="AG5" i="88"/>
  <c r="AG20" i="59"/>
  <c r="AI8" i="86"/>
  <c r="AI4" i="88" s="1"/>
  <c r="AH20" i="59"/>
  <c r="AJ8" i="86"/>
  <c r="AJ4" i="88" s="1"/>
  <c r="AF24" i="59"/>
  <c r="AF28" i="59"/>
  <c r="AF26" i="59" s="1"/>
  <c r="AE25" i="59"/>
  <c r="AD19" i="59"/>
  <c r="AD17" i="59"/>
  <c r="AD21" i="59"/>
  <c r="AH5" i="88" l="1"/>
  <c r="AI3" i="86"/>
  <c r="AI3" i="88" s="1"/>
  <c r="AI5" i="88" s="1"/>
  <c r="AJ3" i="86"/>
  <c r="AJ3" i="88" s="1"/>
  <c r="AJ7" i="88" s="1"/>
  <c r="AE19" i="59"/>
  <c r="AE17" i="59"/>
  <c r="AE21" i="59"/>
  <c r="AG28" i="59"/>
  <c r="AG26" i="59" s="1"/>
  <c r="AG24" i="59"/>
  <c r="AF25" i="59"/>
  <c r="AF23" i="59" s="1"/>
  <c r="AE23" i="59"/>
  <c r="AH24" i="59"/>
  <c r="AH28" i="59"/>
  <c r="AH26" i="59" s="1"/>
  <c r="AJ5" i="88" l="1"/>
  <c r="AI7" i="88"/>
  <c r="AH25" i="59"/>
  <c r="AF17" i="59"/>
  <c r="AF19" i="59"/>
  <c r="AF21" i="59"/>
  <c r="AG25" i="59"/>
  <c r="AG19" i="59" l="1"/>
  <c r="AG17" i="59"/>
  <c r="AG21" i="59"/>
  <c r="AG23" i="59"/>
  <c r="AH17" i="59"/>
  <c r="AH19" i="59"/>
  <c r="AH21" i="59"/>
  <c r="AH23" i="59"/>
</calcChain>
</file>

<file path=xl/sharedStrings.xml><?xml version="1.0" encoding="utf-8"?>
<sst xmlns="http://schemas.openxmlformats.org/spreadsheetml/2006/main" count="145" uniqueCount="102">
  <si>
    <t>A19</t>
  </si>
  <si>
    <t>A21</t>
  </si>
  <si>
    <t>%</t>
  </si>
  <si>
    <t>Fi46</t>
  </si>
  <si>
    <t>l/b/zi</t>
  </si>
  <si>
    <t>Op27</t>
  </si>
  <si>
    <t>ILI</t>
  </si>
  <si>
    <t>Op29</t>
  </si>
  <si>
    <t>Consum specific</t>
  </si>
  <si>
    <t>POPULATIE</t>
  </si>
  <si>
    <t>Nr. loc.</t>
  </si>
  <si>
    <t>Procent conectat</t>
  </si>
  <si>
    <t>Consumatori</t>
  </si>
  <si>
    <t xml:space="preserve"> l/ om / zi</t>
  </si>
  <si>
    <t>Cosum casnic</t>
  </si>
  <si>
    <t>Consum non-casnic</t>
  </si>
  <si>
    <t>Consum total</t>
  </si>
  <si>
    <t>mc /an</t>
  </si>
  <si>
    <t>mc/an</t>
  </si>
  <si>
    <t>Volum intrat</t>
  </si>
  <si>
    <t>ks</t>
  </si>
  <si>
    <t>kp</t>
  </si>
  <si>
    <t>A3</t>
  </si>
  <si>
    <t>Input total sistem (input apă brută)</t>
  </si>
  <si>
    <t>Coef. Pierderi</t>
  </si>
  <si>
    <t>Coef. Consum tehnologic</t>
  </si>
  <si>
    <t>Kp x ks</t>
  </si>
  <si>
    <t>Apa nevalorificata</t>
  </si>
  <si>
    <t>Consum apa</t>
  </si>
  <si>
    <t>factor</t>
  </si>
  <si>
    <t xml:space="preserve">Urban </t>
  </si>
  <si>
    <t>Rural</t>
  </si>
  <si>
    <t>Input</t>
  </si>
  <si>
    <t>Target consum specific:</t>
  </si>
  <si>
    <t>Scadere a pierderilor fizice 2024 [mc/an]:</t>
  </si>
  <si>
    <t>UARL</t>
  </si>
  <si>
    <t>Proiecţia principalilor indicatori macroeconomici (mai 2019) si estimarile Consultantului</t>
  </si>
  <si>
    <t>Rata de crestere a PIB in termeni reali, Romania</t>
  </si>
  <si>
    <t>Factor de elasticitate (venit)</t>
  </si>
  <si>
    <t>Factor de elasticitate (tarif)</t>
  </si>
  <si>
    <t>Factor elasticitate Calarasi-Ialomita</t>
  </si>
  <si>
    <t>estimat</t>
  </si>
  <si>
    <t>Factor elasticitate Mehedinti</t>
  </si>
  <si>
    <t>Factor elasticitate Sibiu-Brasov</t>
  </si>
  <si>
    <t>Consum Autorizat</t>
  </si>
  <si>
    <t>Consum Contorizat Facturat</t>
  </si>
  <si>
    <t>Consum Autorizat Facturat</t>
  </si>
  <si>
    <t>Volum Intrat in Sistem</t>
  </si>
  <si>
    <t>Consum Autorizat Nefacturat</t>
  </si>
  <si>
    <t>Consum Contorizat Nefacturat</t>
  </si>
  <si>
    <t>Consum Necontorizat Nefacturat</t>
  </si>
  <si>
    <t>Consum Necontorizat Facturat</t>
  </si>
  <si>
    <t>Pierderi Aparente</t>
  </si>
  <si>
    <t>Consum Neautorizat</t>
  </si>
  <si>
    <t>Erori contori si prelucrare date</t>
  </si>
  <si>
    <t>Pierderi Reale</t>
  </si>
  <si>
    <t>Consum tehnologic si Pierderi</t>
  </si>
  <si>
    <t>Apa Valorificata</t>
  </si>
  <si>
    <t>Apa Nevalorificata</t>
  </si>
  <si>
    <t>Urban</t>
  </si>
  <si>
    <t>Pierderi de apa</t>
  </si>
  <si>
    <t>Consum tehnologic ST</t>
  </si>
  <si>
    <t>Consum Tehnologic retea</t>
  </si>
  <si>
    <t>Total</t>
  </si>
  <si>
    <t>U.M.</t>
  </si>
  <si>
    <t>Pierderi</t>
  </si>
  <si>
    <t>A20</t>
  </si>
  <si>
    <t>A10</t>
  </si>
  <si>
    <t>A8</t>
  </si>
  <si>
    <t>A9</t>
  </si>
  <si>
    <t>A13</t>
  </si>
  <si>
    <t>A11</t>
  </si>
  <si>
    <t>A12</t>
  </si>
  <si>
    <t>A18</t>
  </si>
  <si>
    <t>A16</t>
  </si>
  <si>
    <t>A17</t>
  </si>
  <si>
    <t>mc/zi</t>
  </si>
  <si>
    <t>mc /zi</t>
  </si>
  <si>
    <t>Apa Nevalorificata (% din A3)</t>
  </si>
  <si>
    <t>Pierderi reale in retea</t>
  </si>
  <si>
    <t>Pierderi reale in retea (% din A3)</t>
  </si>
  <si>
    <t>Date retea</t>
  </si>
  <si>
    <t>Indicatori performanta</t>
  </si>
  <si>
    <t>Lungime retea</t>
  </si>
  <si>
    <t>km</t>
  </si>
  <si>
    <t>Numar bransmanete</t>
  </si>
  <si>
    <t>buc.</t>
  </si>
  <si>
    <t>Presiune medie</t>
  </si>
  <si>
    <t>mCA</t>
  </si>
  <si>
    <t>Lungime bransament*</t>
  </si>
  <si>
    <t>m</t>
  </si>
  <si>
    <t>Pierderi reale pe bransament</t>
  </si>
  <si>
    <t>Pierderi reala pe km conducta</t>
  </si>
  <si>
    <t>mc/km/zi</t>
  </si>
  <si>
    <t>D34</t>
  </si>
  <si>
    <t>C25</t>
  </si>
  <si>
    <t>C24</t>
  </si>
  <si>
    <t>C8</t>
  </si>
  <si>
    <t>Op28</t>
  </si>
  <si>
    <t>Prognoza Balanta Apei</t>
  </si>
  <si>
    <t>Indicatori de performanta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</si>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</sst>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l_e_i_-;\-* #,##0.00\ _l_e_i_-;_-* &quot;-&quot;??\ _l_e_i_-;_-@_-"/>
    <numFmt numFmtId="165" formatCode="_-* #,##0.00\ _R_O_N_-;\-* #,##0.00\ _R_O_N_-;_-* &quot;-&quot;??\ _R_O_N_-;_-@_-"/>
    <numFmt numFmtId="166" formatCode="0.0%"/>
    <numFmt numFmtId="167" formatCode="0.000"/>
    <numFmt numFmtId="168" formatCode="_(* #,##0.00_);_(* \(#,##0.00\);_(* &quot;-&quot;??_);_(@_)"/>
    <numFmt numFmtId="169" formatCode="#,##0.0"/>
  </numFmts>
  <fonts count="21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10"/>
      <name val="Arial"/>
      <family val="2"/>
    </font>
    <font>
      <sz val="11"/>
      <color theme="3" tint="-0.249977111117893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i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4" fillId="3" borderId="0" applyNumberFormat="0" applyBorder="0" applyAlignment="0" applyProtection="0"/>
    <xf numFmtId="0" fontId="2" fillId="4" borderId="0" applyNumberFormat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11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226">
    <xf numFmtId="0" fontId="0" fillId="0" borderId="0" xfId="0"/>
    <xf numFmtId="3" fontId="0" fillId="0" borderId="0" xfId="0" applyNumberFormat="1"/>
    <xf numFmtId="3" fontId="0" fillId="0" borderId="1" xfId="0" applyNumberFormat="1" applyBorder="1"/>
    <xf numFmtId="3" fontId="1" fillId="0" borderId="1" xfId="0" applyNumberFormat="1" applyFont="1" applyBorder="1"/>
    <xf numFmtId="0" fontId="0" fillId="0" borderId="12" xfId="0" applyBorder="1"/>
    <xf numFmtId="2" fontId="0" fillId="0" borderId="1" xfId="0" applyNumberFormat="1" applyBorder="1"/>
    <xf numFmtId="2" fontId="0" fillId="0" borderId="14" xfId="0" applyNumberFormat="1" applyBorder="1"/>
    <xf numFmtId="10" fontId="0" fillId="0" borderId="1" xfId="0" applyNumberFormat="1" applyBorder="1"/>
    <xf numFmtId="0" fontId="0" fillId="0" borderId="1" xfId="0" applyBorder="1"/>
    <xf numFmtId="0" fontId="0" fillId="0" borderId="6" xfId="0" applyBorder="1"/>
    <xf numFmtId="0" fontId="0" fillId="0" borderId="5" xfId="0" applyBorder="1"/>
    <xf numFmtId="0" fontId="7" fillId="0" borderId="12" xfId="0" applyFont="1" applyBorder="1"/>
    <xf numFmtId="0" fontId="7" fillId="0" borderId="6" xfId="0" applyFont="1" applyBorder="1"/>
    <xf numFmtId="0" fontId="3" fillId="0" borderId="15" xfId="0" applyFont="1" applyBorder="1"/>
    <xf numFmtId="166" fontId="0" fillId="0" borderId="7" xfId="0" applyNumberFormat="1" applyFill="1" applyBorder="1"/>
    <xf numFmtId="166" fontId="0" fillId="0" borderId="7" xfId="0" applyNumberFormat="1" applyBorder="1"/>
    <xf numFmtId="0" fontId="5" fillId="3" borderId="21" xfId="1" applyFont="1" applyBorder="1"/>
    <xf numFmtId="10" fontId="0" fillId="0" borderId="10" xfId="0" applyNumberFormat="1" applyBorder="1"/>
    <xf numFmtId="3" fontId="0" fillId="6" borderId="1" xfId="0" applyNumberFormat="1" applyFill="1" applyBorder="1"/>
    <xf numFmtId="166" fontId="0" fillId="6" borderId="7" xfId="0" applyNumberFormat="1" applyFill="1" applyBorder="1"/>
    <xf numFmtId="10" fontId="0" fillId="6" borderId="1" xfId="0" applyNumberFormat="1" applyFill="1" applyBorder="1"/>
    <xf numFmtId="10" fontId="0" fillId="6" borderId="10" xfId="0" applyNumberFormat="1" applyFill="1" applyBorder="1"/>
    <xf numFmtId="3" fontId="0" fillId="6" borderId="10" xfId="0" applyNumberFormat="1" applyFill="1" applyBorder="1"/>
    <xf numFmtId="3" fontId="0" fillId="7" borderId="1" xfId="0" applyNumberFormat="1" applyFill="1" applyBorder="1"/>
    <xf numFmtId="10" fontId="9" fillId="6" borderId="10" xfId="0" applyNumberFormat="1" applyFont="1" applyFill="1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7" xfId="0" applyNumberFormat="1" applyBorder="1"/>
    <xf numFmtId="164" fontId="3" fillId="5" borderId="0" xfId="6" applyNumberFormat="1" applyFont="1" applyFill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/>
    <xf numFmtId="2" fontId="0" fillId="9" borderId="14" xfId="0" applyNumberFormat="1" applyFill="1" applyBorder="1"/>
    <xf numFmtId="2" fontId="10" fillId="0" borderId="14" xfId="0" applyNumberFormat="1" applyFont="1" applyBorder="1"/>
    <xf numFmtId="0" fontId="0" fillId="0" borderId="5" xfId="0" applyBorder="1" applyAlignment="1">
      <alignment horizontal="center" vertical="center" wrapText="1"/>
    </xf>
    <xf numFmtId="2" fontId="0" fillId="9" borderId="1" xfId="0" applyNumberFormat="1" applyFill="1" applyBorder="1"/>
    <xf numFmtId="2" fontId="10" fillId="0" borderId="1" xfId="0" applyNumberFormat="1" applyFont="1" applyBorder="1"/>
    <xf numFmtId="0" fontId="0" fillId="0" borderId="7" xfId="0" applyBorder="1"/>
    <xf numFmtId="167" fontId="0" fillId="0" borderId="8" xfId="0" applyNumberFormat="1" applyBorder="1"/>
    <xf numFmtId="3" fontId="0" fillId="0" borderId="10" xfId="0" applyNumberFormat="1" applyFill="1" applyBorder="1"/>
    <xf numFmtId="2" fontId="0" fillId="2" borderId="7" xfId="0" applyNumberFormat="1" applyFill="1" applyBorder="1"/>
    <xf numFmtId="3" fontId="0" fillId="0" borderId="7" xfId="0" applyNumberFormat="1" applyFill="1" applyBorder="1"/>
    <xf numFmtId="3" fontId="10" fillId="0" borderId="1" xfId="0" applyNumberFormat="1" applyFont="1" applyBorder="1"/>
    <xf numFmtId="2" fontId="10" fillId="2" borderId="14" xfId="0" applyNumberFormat="1" applyFont="1" applyFill="1" applyBorder="1"/>
    <xf numFmtId="2" fontId="10" fillId="2" borderId="1" xfId="0" applyNumberFormat="1" applyFont="1" applyFill="1" applyBorder="1"/>
    <xf numFmtId="3" fontId="0" fillId="0" borderId="1" xfId="0" applyNumberFormat="1" applyFill="1" applyBorder="1"/>
    <xf numFmtId="3" fontId="7" fillId="6" borderId="7" xfId="0" applyNumberFormat="1" applyFont="1" applyFill="1" applyBorder="1"/>
    <xf numFmtId="3" fontId="7" fillId="0" borderId="7" xfId="0" applyNumberFormat="1" applyFont="1" applyBorder="1"/>
    <xf numFmtId="3" fontId="0" fillId="0" borderId="10" xfId="0" applyNumberFormat="1" applyBorder="1"/>
    <xf numFmtId="2" fontId="13" fillId="0" borderId="14" xfId="0" applyNumberFormat="1" applyFont="1" applyBorder="1"/>
    <xf numFmtId="0" fontId="6" fillId="4" borderId="2" xfId="2" applyFont="1" applyBorder="1" applyAlignment="1"/>
    <xf numFmtId="0" fontId="6" fillId="4" borderId="3" xfId="2" applyFont="1" applyBorder="1" applyAlignment="1"/>
    <xf numFmtId="0" fontId="6" fillId="4" borderId="4" xfId="2" applyFont="1" applyBorder="1" applyAlignment="1"/>
    <xf numFmtId="9" fontId="15" fillId="10" borderId="28" xfId="4" applyFont="1" applyFill="1" applyBorder="1" applyAlignment="1">
      <alignment horizontal="center" vertical="center"/>
    </xf>
    <xf numFmtId="3" fontId="15" fillId="10" borderId="28" xfId="4" applyNumberFormat="1" applyFont="1" applyFill="1" applyBorder="1" applyAlignment="1">
      <alignment horizontal="center" vertical="center"/>
    </xf>
    <xf numFmtId="3" fontId="16" fillId="0" borderId="0" xfId="0" applyNumberFormat="1" applyFont="1" applyFill="1" applyAlignment="1">
      <alignment vertical="center"/>
    </xf>
    <xf numFmtId="3" fontId="17" fillId="10" borderId="28" xfId="4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3" fontId="12" fillId="0" borderId="10" xfId="0" applyNumberFormat="1" applyFont="1" applyFill="1" applyBorder="1"/>
    <xf numFmtId="169" fontId="0" fillId="6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169" fontId="0" fillId="0" borderId="1" xfId="0" applyNumberFormat="1" applyFont="1" applyBorder="1" applyAlignment="1">
      <alignment vertical="center" wrapText="1"/>
    </xf>
    <xf numFmtId="3" fontId="0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3" fontId="14" fillId="0" borderId="0" xfId="0" applyNumberFormat="1" applyFont="1"/>
    <xf numFmtId="3" fontId="14" fillId="0" borderId="1" xfId="0" applyNumberFormat="1" applyFont="1" applyBorder="1" applyAlignment="1">
      <alignment horizontal="center"/>
    </xf>
    <xf numFmtId="166" fontId="14" fillId="2" borderId="1" xfId="4" applyNumberFormat="1" applyFont="1" applyFill="1" applyBorder="1" applyProtection="1">
      <protection locked="0"/>
    </xf>
    <xf numFmtId="166" fontId="14" fillId="0" borderId="1" xfId="4" applyNumberFormat="1" applyFont="1" applyBorder="1" applyProtection="1">
      <protection locked="0"/>
    </xf>
    <xf numFmtId="3" fontId="14" fillId="2" borderId="1" xfId="0" applyNumberFormat="1" applyFont="1" applyFill="1" applyBorder="1"/>
    <xf numFmtId="3" fontId="14" fillId="2" borderId="1" xfId="0" applyNumberFormat="1" applyFont="1" applyFill="1" applyBorder="1" applyAlignment="1">
      <alignment horizontal="center"/>
    </xf>
    <xf numFmtId="4" fontId="14" fillId="2" borderId="1" xfId="6" applyNumberFormat="1" applyFont="1" applyFill="1" applyBorder="1" applyAlignment="1" applyProtection="1">
      <alignment horizontal="center"/>
      <protection locked="0"/>
    </xf>
    <xf numFmtId="0" fontId="19" fillId="0" borderId="0" xfId="0" applyFont="1"/>
    <xf numFmtId="0" fontId="19" fillId="0" borderId="0" xfId="0" applyFont="1" applyAlignment="1">
      <alignment horizontal="center"/>
    </xf>
    <xf numFmtId="3" fontId="10" fillId="0" borderId="10" xfId="0" applyNumberFormat="1" applyFont="1" applyFill="1" applyBorder="1"/>
    <xf numFmtId="0" fontId="0" fillId="0" borderId="0" xfId="0" applyAlignment="1">
      <alignment horizontal="center"/>
    </xf>
    <xf numFmtId="169" fontId="3" fillId="0" borderId="1" xfId="0" applyNumberFormat="1" applyFont="1" applyBorder="1" applyAlignment="1">
      <alignment vertical="center" wrapText="1"/>
    </xf>
    <xf numFmtId="3" fontId="3" fillId="7" borderId="1" xfId="0" applyNumberFormat="1" applyFont="1" applyFill="1" applyBorder="1"/>
    <xf numFmtId="3" fontId="3" fillId="0" borderId="1" xfId="0" applyNumberFormat="1" applyFont="1" applyBorder="1" applyAlignment="1">
      <alignment vertical="center" wrapText="1"/>
    </xf>
    <xf numFmtId="2" fontId="12" fillId="0" borderId="14" xfId="0" applyNumberFormat="1" applyFont="1" applyBorder="1"/>
    <xf numFmtId="0" fontId="1" fillId="0" borderId="1" xfId="0" applyFont="1" applyBorder="1"/>
    <xf numFmtId="3" fontId="10" fillId="0" borderId="1" xfId="0" applyNumberFormat="1" applyFont="1" applyFill="1" applyBorder="1"/>
    <xf numFmtId="3" fontId="10" fillId="0" borderId="7" xfId="0" applyNumberFormat="1" applyFont="1" applyFill="1" applyBorder="1"/>
    <xf numFmtId="3" fontId="0" fillId="0" borderId="35" xfId="0" applyNumberFormat="1" applyFont="1" applyBorder="1" applyAlignment="1">
      <alignment vertical="center" wrapText="1"/>
    </xf>
    <xf numFmtId="3" fontId="0" fillId="0" borderId="7" xfId="0" applyNumberFormat="1" applyFont="1" applyBorder="1" applyAlignment="1">
      <alignment vertical="center" wrapText="1"/>
    </xf>
    <xf numFmtId="0" fontId="0" fillId="0" borderId="35" xfId="0" applyBorder="1" applyAlignment="1">
      <alignment horizontal="center"/>
    </xf>
    <xf numFmtId="0" fontId="5" fillId="3" borderId="21" xfId="1" applyFont="1" applyBorder="1" applyAlignment="1">
      <alignment horizontal="center"/>
    </xf>
    <xf numFmtId="0" fontId="5" fillId="3" borderId="22" xfId="1" applyFont="1" applyBorder="1"/>
    <xf numFmtId="3" fontId="10" fillId="0" borderId="35" xfId="0" applyNumberFormat="1" applyFont="1" applyBorder="1"/>
    <xf numFmtId="3" fontId="1" fillId="0" borderId="1" xfId="0" applyNumberFormat="1" applyFont="1" applyBorder="1" applyAlignment="1">
      <alignment vertical="center" wrapText="1"/>
    </xf>
    <xf numFmtId="3" fontId="3" fillId="0" borderId="16" xfId="0" applyNumberFormat="1" applyFont="1" applyBorder="1"/>
    <xf numFmtId="9" fontId="0" fillId="0" borderId="0" xfId="0" applyNumberFormat="1"/>
    <xf numFmtId="0" fontId="0" fillId="0" borderId="40" xfId="0" applyFont="1" applyBorder="1"/>
    <xf numFmtId="0" fontId="1" fillId="0" borderId="29" xfId="0" applyFont="1" applyBorder="1"/>
    <xf numFmtId="0" fontId="1" fillId="0" borderId="30" xfId="0" applyFont="1" applyBorder="1"/>
    <xf numFmtId="0" fontId="0" fillId="0" borderId="40" xfId="0" applyBorder="1"/>
    <xf numFmtId="0" fontId="0" fillId="0" borderId="30" xfId="0" applyFont="1" applyBorder="1"/>
    <xf numFmtId="0" fontId="0" fillId="0" borderId="3" xfId="0" applyFill="1" applyBorder="1" applyAlignment="1">
      <alignment horizontal="left" vertical="top" wrapText="1"/>
    </xf>
    <xf numFmtId="0" fontId="0" fillId="0" borderId="37" xfId="0" applyFill="1" applyBorder="1" applyAlignment="1">
      <alignment horizontal="left" vertical="top" wrapText="1"/>
    </xf>
    <xf numFmtId="0" fontId="0" fillId="0" borderId="31" xfId="0" applyFill="1" applyBorder="1" applyAlignment="1">
      <alignment horizontal="left" vertical="top" wrapText="1"/>
    </xf>
    <xf numFmtId="0" fontId="0" fillId="0" borderId="38" xfId="0" applyFill="1" applyBorder="1" applyAlignment="1">
      <alignment horizontal="left" vertical="top" wrapText="1"/>
    </xf>
    <xf numFmtId="3" fontId="3" fillId="0" borderId="35" xfId="0" applyNumberFormat="1" applyFont="1" applyFill="1" applyBorder="1" applyAlignment="1">
      <alignment vertical="center" wrapText="1"/>
    </xf>
    <xf numFmtId="3" fontId="0" fillId="0" borderId="35" xfId="0" applyNumberFormat="1" applyFont="1" applyFill="1" applyBorder="1" applyAlignment="1">
      <alignment vertical="center" wrapText="1"/>
    </xf>
    <xf numFmtId="3" fontId="10" fillId="0" borderId="36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/>
    <xf numFmtId="3" fontId="20" fillId="0" borderId="1" xfId="0" applyNumberFormat="1" applyFont="1" applyFill="1" applyBorder="1"/>
    <xf numFmtId="3" fontId="1" fillId="0" borderId="9" xfId="0" applyNumberFormat="1" applyFont="1" applyFill="1" applyBorder="1"/>
    <xf numFmtId="3" fontId="6" fillId="0" borderId="1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vertical="center" wrapText="1"/>
    </xf>
    <xf numFmtId="3" fontId="1" fillId="0" borderId="9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3" fontId="0" fillId="0" borderId="1" xfId="0" applyNumberFormat="1" applyFont="1" applyFill="1" applyBorder="1" applyAlignment="1">
      <alignment vertical="center" wrapText="1"/>
    </xf>
    <xf numFmtId="3" fontId="0" fillId="0" borderId="9" xfId="0" applyNumberFormat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vertical="center" wrapText="1"/>
    </xf>
    <xf numFmtId="3" fontId="0" fillId="0" borderId="7" xfId="0" applyNumberFormat="1" applyFont="1" applyFill="1" applyBorder="1" applyAlignment="1">
      <alignment vertical="center" wrapText="1"/>
    </xf>
    <xf numFmtId="3" fontId="0" fillId="0" borderId="8" xfId="0" applyNumberFormat="1" applyFont="1" applyFill="1" applyBorder="1" applyAlignment="1">
      <alignment vertical="center" wrapText="1"/>
    </xf>
    <xf numFmtId="3" fontId="10" fillId="0" borderId="35" xfId="0" applyNumberFormat="1" applyFont="1" applyFill="1" applyBorder="1"/>
    <xf numFmtId="3" fontId="10" fillId="0" borderId="36" xfId="0" applyNumberFormat="1" applyFont="1" applyFill="1" applyBorder="1"/>
    <xf numFmtId="3" fontId="0" fillId="0" borderId="9" xfId="0" applyNumberFormat="1" applyFill="1" applyBorder="1"/>
    <xf numFmtId="3" fontId="12" fillId="0" borderId="1" xfId="0" applyNumberFormat="1" applyFont="1" applyFill="1" applyBorder="1"/>
    <xf numFmtId="3" fontId="12" fillId="0" borderId="7" xfId="0" applyNumberFormat="1" applyFont="1" applyFill="1" applyBorder="1"/>
    <xf numFmtId="3" fontId="0" fillId="0" borderId="8" xfId="0" applyNumberFormat="1" applyFill="1" applyBorder="1"/>
    <xf numFmtId="166" fontId="0" fillId="0" borderId="8" xfId="0" applyNumberFormat="1" applyFill="1" applyBorder="1"/>
    <xf numFmtId="3" fontId="7" fillId="0" borderId="8" xfId="0" applyNumberFormat="1" applyFont="1" applyFill="1" applyBorder="1"/>
    <xf numFmtId="10" fontId="0" fillId="0" borderId="9" xfId="0" applyNumberFormat="1" applyFill="1" applyBorder="1"/>
    <xf numFmtId="10" fontId="0" fillId="0" borderId="11" xfId="0" applyNumberFormat="1" applyFill="1" applyBorder="1"/>
    <xf numFmtId="0" fontId="0" fillId="0" borderId="0" xfId="0" applyAlignment="1">
      <alignment horizontal="center"/>
    </xf>
    <xf numFmtId="3" fontId="3" fillId="6" borderId="16" xfId="0" applyNumberFormat="1" applyFont="1" applyFill="1" applyBorder="1"/>
    <xf numFmtId="3" fontId="6" fillId="0" borderId="16" xfId="2" applyNumberFormat="1" applyFont="1" applyFill="1" applyBorder="1" applyAlignment="1"/>
    <xf numFmtId="0" fontId="0" fillId="0" borderId="1" xfId="0" applyFont="1" applyBorder="1" applyAlignment="1">
      <alignment horizontal="center"/>
    </xf>
    <xf numFmtId="3" fontId="0" fillId="0" borderId="1" xfId="0" applyNumberFormat="1" applyFont="1" applyBorder="1"/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7" xfId="0" applyFont="1" applyBorder="1" applyAlignment="1">
      <alignment horizontal="center"/>
    </xf>
    <xf numFmtId="3" fontId="0" fillId="0" borderId="7" xfId="0" applyNumberFormat="1" applyFont="1" applyFill="1" applyBorder="1"/>
    <xf numFmtId="2" fontId="0" fillId="0" borderId="1" xfId="0" applyNumberFormat="1" applyFont="1" applyFill="1" applyBorder="1"/>
    <xf numFmtId="10" fontId="0" fillId="0" borderId="1" xfId="0" applyNumberFormat="1" applyFont="1" applyFill="1" applyBorder="1"/>
    <xf numFmtId="2" fontId="0" fillId="0" borderId="1" xfId="0" applyNumberFormat="1" applyFont="1" applyBorder="1"/>
    <xf numFmtId="2" fontId="10" fillId="0" borderId="1" xfId="0" applyNumberFormat="1" applyFont="1" applyFill="1" applyBorder="1"/>
    <xf numFmtId="0" fontId="0" fillId="0" borderId="1" xfId="0" applyFont="1" applyBorder="1"/>
    <xf numFmtId="10" fontId="0" fillId="0" borderId="1" xfId="0" applyNumberFormat="1" applyFont="1" applyFill="1" applyBorder="1" applyAlignment="1">
      <alignment vertical="center" wrapText="1"/>
    </xf>
    <xf numFmtId="10" fontId="0" fillId="0" borderId="1" xfId="0" applyNumberFormat="1" applyFont="1" applyBorder="1" applyAlignment="1">
      <alignment vertical="center" wrapText="1"/>
    </xf>
    <xf numFmtId="0" fontId="5" fillId="3" borderId="16" xfId="1" applyFont="1" applyBorder="1" applyAlignment="1">
      <alignment horizontal="center"/>
    </xf>
    <xf numFmtId="0" fontId="5" fillId="3" borderId="16" xfId="1" applyFont="1" applyBorder="1"/>
    <xf numFmtId="0" fontId="5" fillId="3" borderId="20" xfId="1" applyFont="1" applyBorder="1"/>
    <xf numFmtId="0" fontId="0" fillId="0" borderId="13" xfId="0" applyFill="1" applyBorder="1" applyAlignment="1">
      <alignment horizontal="left" vertical="top" wrapText="1"/>
    </xf>
    <xf numFmtId="0" fontId="2" fillId="0" borderId="14" xfId="2" applyFont="1" applyFill="1" applyBorder="1" applyAlignment="1"/>
    <xf numFmtId="0" fontId="0" fillId="0" borderId="14" xfId="0" applyFont="1" applyFill="1" applyBorder="1" applyAlignment="1">
      <alignment horizontal="center"/>
    </xf>
    <xf numFmtId="2" fontId="2" fillId="0" borderId="14" xfId="2" applyNumberFormat="1" applyFont="1" applyFill="1" applyBorder="1" applyAlignment="1"/>
    <xf numFmtId="2" fontId="2" fillId="0" borderId="46" xfId="2" applyNumberFormat="1" applyFont="1" applyFill="1" applyBorder="1" applyAlignment="1"/>
    <xf numFmtId="0" fontId="0" fillId="0" borderId="5" xfId="0" applyFill="1" applyBorder="1" applyAlignment="1">
      <alignment horizontal="left" vertical="top" wrapText="1"/>
    </xf>
    <xf numFmtId="2" fontId="0" fillId="0" borderId="9" xfId="0" applyNumberFormat="1" applyFont="1" applyFill="1" applyBorder="1"/>
    <xf numFmtId="10" fontId="10" fillId="0" borderId="9" xfId="0" applyNumberFormat="1" applyFont="1" applyFill="1" applyBorder="1" applyAlignment="1">
      <alignment vertical="center" wrapText="1"/>
    </xf>
    <xf numFmtId="10" fontId="0" fillId="0" borderId="9" xfId="0" applyNumberFormat="1" applyFont="1" applyFill="1" applyBorder="1"/>
    <xf numFmtId="0" fontId="0" fillId="0" borderId="6" xfId="0" applyFill="1" applyBorder="1" applyAlignment="1">
      <alignment horizontal="left" vertical="top" wrapText="1"/>
    </xf>
    <xf numFmtId="0" fontId="6" fillId="4" borderId="39" xfId="2" applyFont="1" applyBorder="1" applyAlignment="1"/>
    <xf numFmtId="0" fontId="0" fillId="0" borderId="45" xfId="0" applyFill="1" applyBorder="1" applyAlignment="1">
      <alignment horizontal="left" vertical="top" wrapText="1"/>
    </xf>
    <xf numFmtId="2" fontId="10" fillId="0" borderId="14" xfId="0" applyNumberFormat="1" applyFont="1" applyFill="1" applyBorder="1"/>
    <xf numFmtId="2" fontId="10" fillId="0" borderId="46" xfId="0" applyNumberFormat="1" applyFont="1" applyFill="1" applyBorder="1"/>
    <xf numFmtId="2" fontId="0" fillId="0" borderId="1" xfId="0" applyNumberFormat="1" applyFont="1" applyBorder="1" applyAlignment="1">
      <alignment vertical="center" wrapText="1"/>
    </xf>
    <xf numFmtId="2" fontId="0" fillId="0" borderId="1" xfId="0" applyNumberFormat="1" applyFont="1" applyFill="1" applyBorder="1" applyAlignment="1">
      <alignment vertical="center" wrapText="1"/>
    </xf>
    <xf numFmtId="2" fontId="0" fillId="0" borderId="9" xfId="0" applyNumberFormat="1" applyFont="1" applyFill="1" applyBorder="1" applyAlignment="1">
      <alignment vertical="center" wrapText="1"/>
    </xf>
    <xf numFmtId="3" fontId="3" fillId="0" borderId="20" xfId="0" applyNumberFormat="1" applyFont="1" applyFill="1" applyBorder="1"/>
    <xf numFmtId="2" fontId="3" fillId="0" borderId="1" xfId="0" applyNumberFormat="1" applyFont="1" applyFill="1" applyBorder="1"/>
    <xf numFmtId="2" fontId="3" fillId="0" borderId="9" xfId="0" applyNumberFormat="1" applyFont="1" applyFill="1" applyBorder="1"/>
    <xf numFmtId="2" fontId="3" fillId="0" borderId="7" xfId="0" applyNumberFormat="1" applyFont="1" applyFill="1" applyBorder="1"/>
    <xf numFmtId="2" fontId="3" fillId="0" borderId="7" xfId="0" applyNumberFormat="1" applyFont="1" applyBorder="1" applyAlignment="1">
      <alignment vertical="center" wrapText="1"/>
    </xf>
    <xf numFmtId="2" fontId="3" fillId="0" borderId="7" xfId="0" applyNumberFormat="1" applyFont="1" applyFill="1" applyBorder="1" applyAlignment="1">
      <alignment vertical="center" wrapText="1"/>
    </xf>
    <xf numFmtId="2" fontId="3" fillId="0" borderId="8" xfId="0" applyNumberFormat="1" applyFont="1" applyFill="1" applyBorder="1" applyAlignment="1">
      <alignment vertical="center" wrapText="1"/>
    </xf>
    <xf numFmtId="3" fontId="6" fillId="0" borderId="20" xfId="2" applyNumberFormat="1" applyFont="1" applyFill="1" applyBorder="1" applyAlignment="1"/>
    <xf numFmtId="3" fontId="6" fillId="6" borderId="16" xfId="2" applyNumberFormat="1" applyFont="1" applyFill="1" applyBorder="1" applyAlignment="1"/>
    <xf numFmtId="3" fontId="0" fillId="6" borderId="35" xfId="0" applyNumberFormat="1" applyFont="1" applyFill="1" applyBorder="1" applyAlignment="1">
      <alignment vertical="center" wrapText="1"/>
    </xf>
    <xf numFmtId="3" fontId="1" fillId="6" borderId="1" xfId="0" applyNumberFormat="1" applyFont="1" applyFill="1" applyBorder="1"/>
    <xf numFmtId="3" fontId="1" fillId="6" borderId="7" xfId="0" applyNumberFormat="1" applyFont="1" applyFill="1" applyBorder="1"/>
    <xf numFmtId="3" fontId="0" fillId="6" borderId="35" xfId="0" applyNumberFormat="1" applyFill="1" applyBorder="1"/>
    <xf numFmtId="3" fontId="0" fillId="6" borderId="7" xfId="0" applyNumberFormat="1" applyFill="1" applyBorder="1"/>
    <xf numFmtId="0" fontId="6" fillId="0" borderId="16" xfId="2" applyFont="1" applyFill="1" applyBorder="1" applyAlignment="1"/>
    <xf numFmtId="0" fontId="6" fillId="0" borderId="16" xfId="0" applyFont="1" applyFill="1" applyBorder="1" applyAlignment="1">
      <alignment horizontal="center"/>
    </xf>
    <xf numFmtId="3" fontId="0" fillId="0" borderId="36" xfId="0" applyNumberFormat="1" applyFont="1" applyFill="1" applyBorder="1" applyAlignment="1">
      <alignment vertical="center" wrapText="1"/>
    </xf>
    <xf numFmtId="0" fontId="3" fillId="0" borderId="13" xfId="0" applyFont="1" applyBorder="1"/>
    <xf numFmtId="0" fontId="3" fillId="0" borderId="14" xfId="0" applyFont="1" applyBorder="1" applyAlignment="1">
      <alignment horizontal="center"/>
    </xf>
    <xf numFmtId="3" fontId="3" fillId="6" borderId="14" xfId="0" applyNumberFormat="1" applyFont="1" applyFill="1" applyBorder="1"/>
    <xf numFmtId="3" fontId="3" fillId="0" borderId="14" xfId="0" applyNumberFormat="1" applyFont="1" applyBorder="1" applyAlignment="1">
      <alignment vertical="center" wrapText="1"/>
    </xf>
    <xf numFmtId="3" fontId="3" fillId="0" borderId="14" xfId="0" applyNumberFormat="1" applyFont="1" applyFill="1" applyBorder="1" applyAlignment="1">
      <alignment vertical="center" wrapText="1"/>
    </xf>
    <xf numFmtId="3" fontId="3" fillId="0" borderId="46" xfId="0" applyNumberFormat="1" applyFont="1" applyFill="1" applyBorder="1" applyAlignment="1">
      <alignment vertical="center" wrapText="1"/>
    </xf>
    <xf numFmtId="3" fontId="3" fillId="0" borderId="14" xfId="0" applyNumberFormat="1" applyFont="1" applyFill="1" applyBorder="1"/>
    <xf numFmtId="3" fontId="3" fillId="0" borderId="14" xfId="0" applyNumberFormat="1" applyFont="1" applyBorder="1"/>
    <xf numFmtId="3" fontId="12" fillId="0" borderId="14" xfId="0" applyNumberFormat="1" applyFont="1" applyFill="1" applyBorder="1"/>
    <xf numFmtId="3" fontId="3" fillId="0" borderId="46" xfId="0" applyNumberFormat="1" applyFont="1" applyFill="1" applyBorder="1"/>
    <xf numFmtId="169" fontId="10" fillId="0" borderId="9" xfId="0" applyNumberFormat="1" applyFont="1" applyFill="1" applyBorder="1" applyAlignment="1">
      <alignment vertical="center" wrapText="1"/>
    </xf>
    <xf numFmtId="3" fontId="10" fillId="0" borderId="9" xfId="0" applyNumberFormat="1" applyFont="1" applyFill="1" applyBorder="1"/>
    <xf numFmtId="3" fontId="0" fillId="0" borderId="11" xfId="0" applyNumberFormat="1" applyFill="1" applyBorder="1"/>
    <xf numFmtId="0" fontId="5" fillId="3" borderId="2" xfId="1" applyFont="1" applyBorder="1" applyAlignment="1">
      <alignment horizontal="center"/>
    </xf>
    <xf numFmtId="0" fontId="5" fillId="3" borderId="23" xfId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6" fillId="4" borderId="2" xfId="2" applyFont="1" applyBorder="1" applyAlignment="1">
      <alignment horizontal="left"/>
    </xf>
    <xf numFmtId="0" fontId="6" fillId="4" borderId="3" xfId="2" applyFont="1" applyBorder="1" applyAlignment="1">
      <alignment horizontal="left"/>
    </xf>
    <xf numFmtId="0" fontId="6" fillId="4" borderId="4" xfId="2" applyFont="1" applyBorder="1" applyAlignment="1">
      <alignment horizontal="left"/>
    </xf>
    <xf numFmtId="0" fontId="0" fillId="8" borderId="24" xfId="0" applyFill="1" applyBorder="1" applyAlignment="1">
      <alignment horizontal="center" vertical="top" wrapText="1"/>
    </xf>
    <xf numFmtId="0" fontId="0" fillId="8" borderId="25" xfId="0" applyFill="1" applyBorder="1" applyAlignment="1">
      <alignment horizontal="center" vertical="top" wrapText="1"/>
    </xf>
    <xf numFmtId="0" fontId="0" fillId="8" borderId="26" xfId="0" applyFill="1" applyBorder="1" applyAlignment="1">
      <alignment horizontal="center" vertical="top" wrapText="1"/>
    </xf>
    <xf numFmtId="0" fontId="0" fillId="8" borderId="32" xfId="0" applyFill="1" applyBorder="1" applyAlignment="1">
      <alignment horizontal="center" vertical="top" wrapText="1"/>
    </xf>
    <xf numFmtId="0" fontId="0" fillId="8" borderId="33" xfId="0" applyFill="1" applyBorder="1" applyAlignment="1">
      <alignment horizontal="center" vertical="top" wrapText="1"/>
    </xf>
    <xf numFmtId="0" fontId="0" fillId="8" borderId="34" xfId="0" applyFill="1" applyBorder="1" applyAlignment="1">
      <alignment horizontal="center" vertical="top" wrapText="1"/>
    </xf>
    <xf numFmtId="0" fontId="3" fillId="0" borderId="24" xfId="0" applyFont="1" applyBorder="1" applyAlignment="1">
      <alignment vertical="center" textRotation="90"/>
    </xf>
    <xf numFmtId="0" fontId="3" fillId="0" borderId="25" xfId="0" applyFont="1" applyBorder="1" applyAlignment="1">
      <alignment vertical="center" textRotation="90"/>
    </xf>
    <xf numFmtId="0" fontId="3" fillId="0" borderId="26" xfId="0" applyFont="1" applyBorder="1" applyAlignment="1">
      <alignment vertical="center" textRotation="90"/>
    </xf>
    <xf numFmtId="0" fontId="5" fillId="3" borderId="42" xfId="1" applyFont="1" applyBorder="1" applyAlignment="1">
      <alignment horizontal="center"/>
    </xf>
    <xf numFmtId="0" fontId="5" fillId="3" borderId="41" xfId="1" applyFont="1" applyBorder="1" applyAlignment="1">
      <alignment horizontal="center"/>
    </xf>
    <xf numFmtId="0" fontId="0" fillId="0" borderId="48" xfId="0" applyBorder="1" applyAlignment="1">
      <alignment horizontal="center"/>
    </xf>
    <xf numFmtId="0" fontId="3" fillId="0" borderId="21" xfId="0" applyFont="1" applyBorder="1" applyAlignment="1">
      <alignment horizontal="center" vertical="center" textRotation="90"/>
    </xf>
    <xf numFmtId="0" fontId="3" fillId="0" borderId="47" xfId="0" applyFont="1" applyBorder="1" applyAlignment="1">
      <alignment horizontal="center" vertical="center" textRotation="90"/>
    </xf>
    <xf numFmtId="0" fontId="3" fillId="0" borderId="27" xfId="0" applyFont="1" applyBorder="1" applyAlignment="1">
      <alignment horizontal="center" vertical="center" textRotation="90"/>
    </xf>
    <xf numFmtId="0" fontId="0" fillId="8" borderId="43" xfId="0" applyFill="1" applyBorder="1" applyAlignment="1">
      <alignment horizontal="center" vertical="top" wrapText="1"/>
    </xf>
    <xf numFmtId="0" fontId="0" fillId="8" borderId="44" xfId="0" applyFill="1" applyBorder="1" applyAlignment="1">
      <alignment horizontal="center" vertical="top" wrapText="1"/>
    </xf>
    <xf numFmtId="0" fontId="3" fillId="0" borderId="14" xfId="0" applyFont="1" applyBorder="1" applyAlignment="1">
      <alignment vertical="center" textRotation="90"/>
    </xf>
    <xf numFmtId="0" fontId="3" fillId="0" borderId="1" xfId="0" applyFont="1" applyBorder="1" applyAlignment="1">
      <alignment vertical="center" textRotation="90"/>
    </xf>
    <xf numFmtId="0" fontId="3" fillId="0" borderId="7" xfId="0" applyFont="1" applyBorder="1" applyAlignment="1">
      <alignment vertical="center" textRotation="90"/>
    </xf>
  </cellXfs>
  <cellStyles count="9">
    <cellStyle name="20% - Accent5 2" xfId="2" xr:uid="{00000000-0005-0000-0000-000000000000}"/>
    <cellStyle name="Accent1 2" xfId="1" xr:uid="{00000000-0005-0000-0000-000001000000}"/>
    <cellStyle name="Comma" xfId="6" builtinId="3"/>
    <cellStyle name="Normal" xfId="0" builtinId="0"/>
    <cellStyle name="Normal 2" xfId="3" xr:uid="{00000000-0005-0000-0000-000003000000}"/>
    <cellStyle name="Normal 3" xfId="5" xr:uid="{00000000-0005-0000-0000-000004000000}"/>
    <cellStyle name="Percent 2" xfId="8" xr:uid="{00000000-0005-0000-0000-000005000000}"/>
    <cellStyle name="Percent 3" xfId="4" xr:uid="{00000000-0005-0000-0000-000006000000}"/>
    <cellStyle name="Virgulă 2" xfId="7" xr:uid="{00000000-0005-0000-0000-000008000000}"/>
  </cellStyles>
  <dxfs count="0"/>
  <tableStyles count="0" defaultTableStyle="TableStyleMedium2" defaultPivotStyle="PivotStyleLight16"/>
  <colors>
    <mruColors>
      <color rgb="FF00FF00"/>
      <color rgb="FFA6E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IM%20ATMP/COVASNA/Prognoza%20MP/Balanta%20Apa/BA%202019%20INTORSURA%20BUZAULUI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OIM%20ATMP/COVASNA/%23DATE/Prognoza%20Pop.Rezidenta_COVASNA-2020-206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OIM%20ATMP/COVASNA/%23DATE/Prognoza_2019_2023_varianta_de_iarna_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ys. Input"/>
      <sheetName val="Billed Cons"/>
      <sheetName val="Unb. Cons."/>
      <sheetName val="Unauth. Cons."/>
      <sheetName val="Meter Errors"/>
      <sheetName val="Network"/>
      <sheetName val="Pressure"/>
      <sheetName val="Intermittent Supply"/>
      <sheetName val="Financial Data"/>
      <sheetName val="Water Balance m3day"/>
      <sheetName val="Water Balance m3"/>
      <sheetName val="Water Balance m3year"/>
      <sheetName val="PIs"/>
      <sheetName val="WHAT IF"/>
      <sheetName val="Historic Data"/>
      <sheetName val="Getting Started"/>
      <sheetName val="Language 1"/>
      <sheetName val="Language 2"/>
      <sheetName val="Language 3"/>
      <sheetName val="Used Language"/>
      <sheetName val="Matrix"/>
      <sheetName val="Matrix (2)"/>
    </sheetNames>
    <sheetDataSet>
      <sheetData sheetId="0">
        <row r="17">
          <cell r="H17" t="str">
            <v>Intorsura Buzaului</v>
          </cell>
        </row>
      </sheetData>
      <sheetData sheetId="1"/>
      <sheetData sheetId="2">
        <row r="8">
          <cell r="D8">
            <v>233118</v>
          </cell>
          <cell r="H8"/>
        </row>
        <row r="9">
          <cell r="D9">
            <v>24462</v>
          </cell>
          <cell r="H9"/>
        </row>
        <row r="10">
          <cell r="D10">
            <v>23352</v>
          </cell>
          <cell r="H10"/>
        </row>
      </sheetData>
      <sheetData sheetId="3"/>
      <sheetData sheetId="4"/>
      <sheetData sheetId="5"/>
      <sheetData sheetId="6">
        <row r="28">
          <cell r="D28">
            <v>40</v>
          </cell>
        </row>
        <row r="30">
          <cell r="H30">
            <v>1542</v>
          </cell>
        </row>
      </sheetData>
      <sheetData sheetId="7">
        <row r="33">
          <cell r="F33">
            <v>35</v>
          </cell>
        </row>
      </sheetData>
      <sheetData sheetId="8"/>
      <sheetData sheetId="9"/>
      <sheetData sheetId="10"/>
      <sheetData sheetId="11">
        <row r="16">
          <cell r="T16">
            <v>0</v>
          </cell>
        </row>
      </sheetData>
      <sheetData sheetId="12">
        <row r="4">
          <cell r="AC4">
            <v>280932</v>
          </cell>
        </row>
        <row r="8">
          <cell r="T8">
            <v>280932</v>
          </cell>
          <cell r="AY8">
            <v>280932</v>
          </cell>
        </row>
        <row r="9">
          <cell r="AC9">
            <v>0</v>
          </cell>
        </row>
        <row r="14">
          <cell r="AC14">
            <v>0</v>
          </cell>
        </row>
        <row r="16">
          <cell r="T16">
            <v>0</v>
          </cell>
        </row>
        <row r="19">
          <cell r="AC19">
            <v>0</v>
          </cell>
        </row>
        <row r="24">
          <cell r="AC24">
            <v>0</v>
          </cell>
          <cell r="AY24">
            <v>513802</v>
          </cell>
        </row>
        <row r="26">
          <cell r="T26">
            <v>14785.894736842136</v>
          </cell>
        </row>
        <row r="29">
          <cell r="AC29">
            <v>14785.894736842136</v>
          </cell>
        </row>
        <row r="34">
          <cell r="T34">
            <v>499016.10526315786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ASNA_POP FORECAST_2020-2060"/>
      <sheetName val="TEMPO_POP105A_21_10_2019"/>
      <sheetName val="Prognoza Pop"/>
      <sheetName val="Populatie OK"/>
    </sheetNames>
    <sheetDataSet>
      <sheetData sheetId="0">
        <row r="8">
          <cell r="K8">
            <v>53307.672019918456</v>
          </cell>
        </row>
        <row r="29">
          <cell r="K29">
            <v>7165.3064844114233</v>
          </cell>
          <cell r="L29">
            <v>7103.2520657467931</v>
          </cell>
          <cell r="M29">
            <v>7040.5071470407656</v>
          </cell>
          <cell r="N29">
            <v>6992.8841668792275</v>
          </cell>
          <cell r="O29">
            <v>6945.5833152507776</v>
          </cell>
          <cell r="P29">
            <v>6898.6024132327284</v>
          </cell>
          <cell r="Q29">
            <v>6851.9392966409359</v>
          </cell>
          <cell r="R29">
            <v>6805.5918159300982</v>
          </cell>
          <cell r="S29">
            <v>6759.5578360947402</v>
          </cell>
          <cell r="T29">
            <v>6713.8352365708679</v>
          </cell>
          <cell r="U29">
            <v>6668.4219111382781</v>
          </cell>
          <cell r="V29">
            <v>6623.3157678235348</v>
          </cell>
          <cell r="W29">
            <v>6578.5147288036069</v>
          </cell>
          <cell r="X29">
            <v>6541.2465634617683</v>
          </cell>
          <cell r="Y29">
            <v>6504.189527258528</v>
          </cell>
          <cell r="Z29">
            <v>6467.3424241190924</v>
          </cell>
          <cell r="AA29">
            <v>6430.704064744592</v>
          </cell>
          <cell r="AB29">
            <v>6394.273266573693</v>
          </cell>
          <cell r="AC29">
            <v>6358.0488537444298</v>
          </cell>
          <cell r="AD29">
            <v>6322.029657056255</v>
          </cell>
          <cell r="AE29">
            <v>6286.2145139322947</v>
          </cell>
          <cell r="AF29">
            <v>6250.6022683818319</v>
          </cell>
          <cell r="AG29">
            <v>6215.1917709629888</v>
          </cell>
          <cell r="AH29">
            <v>6195.4125276726882</v>
          </cell>
          <cell r="AI29">
            <v>6175.6962299003299</v>
          </cell>
          <cell r="AJ29">
            <v>6156.0426773279269</v>
          </cell>
          <cell r="AK29">
            <v>6136.4516702749806</v>
          </cell>
          <cell r="AL29">
            <v>6116.9230096964611</v>
          </cell>
          <cell r="AM29">
            <v>6097.4564971807768</v>
          </cell>
          <cell r="AN29">
            <v>6078.0519349477636</v>
          </cell>
          <cell r="AO29">
            <v>6058.7091258466717</v>
          </cell>
        </row>
      </sheetData>
      <sheetData sheetId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a"/>
      <sheetName val="pag 1"/>
      <sheetName val="pag 2"/>
      <sheetName val="Sheet1"/>
    </sheetNames>
    <sheetDataSet>
      <sheetData sheetId="0" refreshError="1"/>
      <sheetData sheetId="1">
        <row r="7">
          <cell r="C7">
            <v>4.0999999999999996</v>
          </cell>
          <cell r="D7">
            <v>4.0999999999999996</v>
          </cell>
          <cell r="E7">
            <v>4.2</v>
          </cell>
          <cell r="F7">
            <v>4.2</v>
          </cell>
          <cell r="G7">
            <v>4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2:AI31"/>
  <sheetViews>
    <sheetView tabSelected="1" topLeftCell="A4" zoomScale="80" zoomScaleNormal="80" workbookViewId="0">
      <selection activeCell="E5" sqref="E5"/>
    </sheetView>
  </sheetViews>
  <sheetFormatPr defaultRowHeight="15" outlineLevelCol="1" x14ac:dyDescent="0.25"/>
  <cols>
    <col min="1" max="1" width="15.28515625" customWidth="1"/>
    <col min="2" max="2" width="27.5703125" customWidth="1"/>
    <col min="3" max="3" width="15.140625" style="67" customWidth="1"/>
    <col min="4" max="4" width="11.140625" customWidth="1"/>
    <col min="5" max="5" width="11.5703125" customWidth="1" outlineLevel="1"/>
    <col min="6" max="6" width="10.5703125" customWidth="1" outlineLevel="1"/>
    <col min="7" max="9" width="12.5703125" customWidth="1" outlineLevel="1"/>
    <col min="10" max="10" width="12.5703125" customWidth="1"/>
    <col min="11" max="11" width="12.5703125" customWidth="1" outlineLevel="1"/>
    <col min="12" max="13" width="10.140625" customWidth="1" outlineLevel="1"/>
    <col min="14" max="14" width="12.5703125" customWidth="1" outlineLevel="1"/>
    <col min="15" max="21" width="10.140625" customWidth="1" outlineLevel="1"/>
    <col min="22" max="22" width="10.5703125" customWidth="1" outlineLevel="1"/>
    <col min="23" max="23" width="12.5703125" customWidth="1" outlineLevel="1"/>
    <col min="24" max="33" width="10.140625" customWidth="1" outlineLevel="1"/>
    <col min="34" max="34" width="10.140625" customWidth="1"/>
  </cols>
  <sheetData>
    <row r="2" spans="1:34" x14ac:dyDescent="0.25">
      <c r="B2" s="202" t="s">
        <v>33</v>
      </c>
      <c r="C2" s="202"/>
      <c r="D2" s="63">
        <v>2024</v>
      </c>
      <c r="E2" s="64">
        <v>2048</v>
      </c>
    </row>
    <row r="4" spans="1:34" x14ac:dyDescent="0.25">
      <c r="B4" s="59" t="s">
        <v>32</v>
      </c>
      <c r="C4" s="61" t="s">
        <v>30</v>
      </c>
      <c r="D4" s="60">
        <v>100</v>
      </c>
      <c r="E4" s="60">
        <v>120</v>
      </c>
    </row>
    <row r="5" spans="1:34" x14ac:dyDescent="0.25">
      <c r="B5" s="59" t="s">
        <v>32</v>
      </c>
      <c r="C5" s="61" t="s">
        <v>31</v>
      </c>
      <c r="D5" s="60">
        <v>80</v>
      </c>
      <c r="E5" s="60">
        <v>90</v>
      </c>
    </row>
    <row r="6" spans="1:34" ht="15.75" thickBot="1" x14ac:dyDescent="0.3"/>
    <row r="7" spans="1:34" x14ac:dyDescent="0.25">
      <c r="A7" s="206"/>
      <c r="B7" s="200" t="str">
        <f>[1]Start!$H$17</f>
        <v>Intorsura Buzaului</v>
      </c>
      <c r="C7" s="201"/>
      <c r="D7" s="16">
        <v>2018</v>
      </c>
      <c r="E7" s="16">
        <v>2019</v>
      </c>
      <c r="F7" s="16">
        <v>2020</v>
      </c>
      <c r="G7" s="16">
        <v>2021</v>
      </c>
      <c r="H7" s="16">
        <v>2022</v>
      </c>
      <c r="I7" s="16">
        <v>2023</v>
      </c>
      <c r="J7" s="16">
        <v>2024</v>
      </c>
      <c r="K7" s="16">
        <v>2025</v>
      </c>
      <c r="L7" s="16">
        <v>2026</v>
      </c>
      <c r="M7" s="16">
        <v>2027</v>
      </c>
      <c r="N7" s="16">
        <v>2028</v>
      </c>
      <c r="O7" s="16">
        <v>2029</v>
      </c>
      <c r="P7" s="16">
        <v>2030</v>
      </c>
      <c r="Q7" s="16">
        <v>2031</v>
      </c>
      <c r="R7" s="16">
        <v>2032</v>
      </c>
      <c r="S7" s="16">
        <v>2033</v>
      </c>
      <c r="T7" s="16">
        <v>2034</v>
      </c>
      <c r="U7" s="16">
        <v>2035</v>
      </c>
      <c r="V7" s="16">
        <v>2036</v>
      </c>
      <c r="W7" s="16">
        <v>2037</v>
      </c>
      <c r="X7" s="16">
        <v>2038</v>
      </c>
      <c r="Y7" s="16">
        <v>2039</v>
      </c>
      <c r="Z7" s="16">
        <v>2040</v>
      </c>
      <c r="AA7" s="16">
        <v>2041</v>
      </c>
      <c r="AB7" s="16">
        <v>2042</v>
      </c>
      <c r="AC7" s="16">
        <v>2043</v>
      </c>
      <c r="AD7" s="16">
        <v>2044</v>
      </c>
      <c r="AE7" s="16">
        <v>2045</v>
      </c>
      <c r="AF7" s="16">
        <v>2046</v>
      </c>
      <c r="AG7" s="16">
        <v>2047</v>
      </c>
      <c r="AH7" s="95">
        <v>2048</v>
      </c>
    </row>
    <row r="8" spans="1:34" x14ac:dyDescent="0.25">
      <c r="A8" s="207"/>
      <c r="B8" s="10" t="s">
        <v>9</v>
      </c>
      <c r="C8" s="26" t="s">
        <v>10</v>
      </c>
      <c r="D8" s="18">
        <f>'[2]COVASNA_POP FORECAST_2020-2060'!K29</f>
        <v>7165.3064844114233</v>
      </c>
      <c r="E8" s="23">
        <f>'[2]COVASNA_POP FORECAST_2020-2060'!L29</f>
        <v>7103.2520657467931</v>
      </c>
      <c r="F8" s="23">
        <f>'[2]COVASNA_POP FORECAST_2020-2060'!M29</f>
        <v>7040.5071470407656</v>
      </c>
      <c r="G8" s="23">
        <f>'[2]COVASNA_POP FORECAST_2020-2060'!N29</f>
        <v>6992.8841668792275</v>
      </c>
      <c r="H8" s="23">
        <f>'[2]COVASNA_POP FORECAST_2020-2060'!O29</f>
        <v>6945.5833152507776</v>
      </c>
      <c r="I8" s="23">
        <f>'[2]COVASNA_POP FORECAST_2020-2060'!P29</f>
        <v>6898.6024132327284</v>
      </c>
      <c r="J8" s="85">
        <f>'[2]COVASNA_POP FORECAST_2020-2060'!Q29</f>
        <v>6851.9392966409359</v>
      </c>
      <c r="K8" s="23">
        <f>'[2]COVASNA_POP FORECAST_2020-2060'!R29</f>
        <v>6805.5918159300982</v>
      </c>
      <c r="L8" s="23">
        <f>'[2]COVASNA_POP FORECAST_2020-2060'!S29</f>
        <v>6759.5578360947402</v>
      </c>
      <c r="M8" s="23">
        <f>'[2]COVASNA_POP FORECAST_2020-2060'!T29</f>
        <v>6713.8352365708679</v>
      </c>
      <c r="N8" s="23">
        <f>'[2]COVASNA_POP FORECAST_2020-2060'!U29</f>
        <v>6668.4219111382781</v>
      </c>
      <c r="O8" s="23">
        <f>'[2]COVASNA_POP FORECAST_2020-2060'!V29</f>
        <v>6623.3157678235348</v>
      </c>
      <c r="P8" s="23">
        <f>'[2]COVASNA_POP FORECAST_2020-2060'!W29</f>
        <v>6578.5147288036069</v>
      </c>
      <c r="Q8" s="23">
        <f>'[2]COVASNA_POP FORECAST_2020-2060'!X29</f>
        <v>6541.2465634617683</v>
      </c>
      <c r="R8" s="23">
        <f>'[2]COVASNA_POP FORECAST_2020-2060'!Y29</f>
        <v>6504.189527258528</v>
      </c>
      <c r="S8" s="23">
        <f>'[2]COVASNA_POP FORECAST_2020-2060'!Z29</f>
        <v>6467.3424241190924</v>
      </c>
      <c r="T8" s="23">
        <f>'[2]COVASNA_POP FORECAST_2020-2060'!AA29</f>
        <v>6430.704064744592</v>
      </c>
      <c r="U8" s="23">
        <f>'[2]COVASNA_POP FORECAST_2020-2060'!AB29</f>
        <v>6394.273266573693</v>
      </c>
      <c r="V8" s="23">
        <f>'[2]COVASNA_POP FORECAST_2020-2060'!AC29</f>
        <v>6358.0488537444298</v>
      </c>
      <c r="W8" s="23">
        <f>'[2]COVASNA_POP FORECAST_2020-2060'!AD29</f>
        <v>6322.029657056255</v>
      </c>
      <c r="X8" s="23">
        <f>'[2]COVASNA_POP FORECAST_2020-2060'!AE29</f>
        <v>6286.2145139322947</v>
      </c>
      <c r="Y8" s="23">
        <f>'[2]COVASNA_POP FORECAST_2020-2060'!AF29</f>
        <v>6250.6022683818319</v>
      </c>
      <c r="Z8" s="23">
        <f>'[2]COVASNA_POP FORECAST_2020-2060'!AG29</f>
        <v>6215.1917709629888</v>
      </c>
      <c r="AA8" s="23">
        <f>'[2]COVASNA_POP FORECAST_2020-2060'!AH29</f>
        <v>6195.4125276726882</v>
      </c>
      <c r="AB8" s="23">
        <f>'[2]COVASNA_POP FORECAST_2020-2060'!AI29</f>
        <v>6175.6962299003299</v>
      </c>
      <c r="AC8" s="23">
        <f>'[2]COVASNA_POP FORECAST_2020-2060'!AJ29</f>
        <v>6156.0426773279269</v>
      </c>
      <c r="AD8" s="23">
        <f>'[2]COVASNA_POP FORECAST_2020-2060'!AK29</f>
        <v>6136.4516702749806</v>
      </c>
      <c r="AE8" s="23">
        <f>'[2]COVASNA_POP FORECAST_2020-2060'!AL29</f>
        <v>6116.9230096964611</v>
      </c>
      <c r="AF8" s="23">
        <f>'[2]COVASNA_POP FORECAST_2020-2060'!AM29</f>
        <v>6097.4564971807768</v>
      </c>
      <c r="AG8" s="23">
        <f>'[2]COVASNA_POP FORECAST_2020-2060'!AN29</f>
        <v>6078.0519349477636</v>
      </c>
      <c r="AH8" s="126">
        <f>'[2]COVASNA_POP FORECAST_2020-2060'!AO29</f>
        <v>6058.7091258466717</v>
      </c>
    </row>
    <row r="9" spans="1:34" ht="15.75" thickBot="1" x14ac:dyDescent="0.3">
      <c r="A9" s="207"/>
      <c r="B9" s="9" t="s">
        <v>11</v>
      </c>
      <c r="C9" s="25" t="s">
        <v>2</v>
      </c>
      <c r="D9" s="19">
        <v>0.76</v>
      </c>
      <c r="E9" s="14">
        <f>D9</f>
        <v>0.76</v>
      </c>
      <c r="F9" s="14">
        <f t="shared" ref="F9:I9" si="0">E9</f>
        <v>0.76</v>
      </c>
      <c r="G9" s="14">
        <f t="shared" si="0"/>
        <v>0.76</v>
      </c>
      <c r="H9" s="14">
        <f t="shared" si="0"/>
        <v>0.76</v>
      </c>
      <c r="I9" s="14">
        <f t="shared" si="0"/>
        <v>0.76</v>
      </c>
      <c r="J9" s="14">
        <v>1</v>
      </c>
      <c r="K9" s="14">
        <f>J9</f>
        <v>1</v>
      </c>
      <c r="L9" s="14">
        <f>K9</f>
        <v>1</v>
      </c>
      <c r="M9" s="14">
        <f t="shared" ref="M9:AH9" si="1">L9</f>
        <v>1</v>
      </c>
      <c r="N9" s="14">
        <f t="shared" si="1"/>
        <v>1</v>
      </c>
      <c r="O9" s="14">
        <f t="shared" si="1"/>
        <v>1</v>
      </c>
      <c r="P9" s="14">
        <f t="shared" si="1"/>
        <v>1</v>
      </c>
      <c r="Q9" s="14">
        <f t="shared" si="1"/>
        <v>1</v>
      </c>
      <c r="R9" s="14">
        <f t="shared" si="1"/>
        <v>1</v>
      </c>
      <c r="S9" s="14">
        <f t="shared" si="1"/>
        <v>1</v>
      </c>
      <c r="T9" s="14">
        <f t="shared" si="1"/>
        <v>1</v>
      </c>
      <c r="U9" s="14">
        <f t="shared" si="1"/>
        <v>1</v>
      </c>
      <c r="V9" s="14">
        <f t="shared" si="1"/>
        <v>1</v>
      </c>
      <c r="W9" s="14">
        <f t="shared" si="1"/>
        <v>1</v>
      </c>
      <c r="X9" s="15">
        <f t="shared" si="1"/>
        <v>1</v>
      </c>
      <c r="Y9" s="15">
        <f t="shared" si="1"/>
        <v>1</v>
      </c>
      <c r="Z9" s="15">
        <f t="shared" si="1"/>
        <v>1</v>
      </c>
      <c r="AA9" s="15">
        <f t="shared" si="1"/>
        <v>1</v>
      </c>
      <c r="AB9" s="15">
        <f t="shared" si="1"/>
        <v>1</v>
      </c>
      <c r="AC9" s="15">
        <f t="shared" si="1"/>
        <v>1</v>
      </c>
      <c r="AD9" s="15">
        <f t="shared" si="1"/>
        <v>1</v>
      </c>
      <c r="AE9" s="15">
        <f t="shared" si="1"/>
        <v>1</v>
      </c>
      <c r="AF9" s="15">
        <f t="shared" si="1"/>
        <v>1</v>
      </c>
      <c r="AG9" s="15">
        <f t="shared" si="1"/>
        <v>1</v>
      </c>
      <c r="AH9" s="130">
        <f t="shared" si="1"/>
        <v>1</v>
      </c>
    </row>
    <row r="10" spans="1:34" x14ac:dyDescent="0.25">
      <c r="A10" s="207"/>
      <c r="B10" s="56" t="s">
        <v>28</v>
      </c>
      <c r="C10" s="62" t="s">
        <v>59</v>
      </c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8"/>
    </row>
    <row r="11" spans="1:34" x14ac:dyDescent="0.25">
      <c r="A11" s="207"/>
      <c r="B11" s="10" t="s">
        <v>12</v>
      </c>
      <c r="C11" s="26" t="s">
        <v>10</v>
      </c>
      <c r="D11" s="18">
        <f t="shared" ref="D11:AH11" si="2">D9*D8</f>
        <v>5445.6329281526814</v>
      </c>
      <c r="E11" s="51">
        <f t="shared" si="2"/>
        <v>5398.4715699675626</v>
      </c>
      <c r="F11" s="51">
        <f t="shared" si="2"/>
        <v>5350.7854317509818</v>
      </c>
      <c r="G11" s="2">
        <f t="shared" si="2"/>
        <v>5314.5919668282131</v>
      </c>
      <c r="H11" s="2">
        <f t="shared" si="2"/>
        <v>5278.6433195905911</v>
      </c>
      <c r="I11" s="2">
        <f t="shared" si="2"/>
        <v>5242.9378340568737</v>
      </c>
      <c r="J11" s="2">
        <f t="shared" si="2"/>
        <v>6851.9392966409359</v>
      </c>
      <c r="K11" s="48">
        <f t="shared" si="2"/>
        <v>6805.5918159300982</v>
      </c>
      <c r="L11" s="2">
        <f t="shared" si="2"/>
        <v>6759.5578360947402</v>
      </c>
      <c r="M11" s="48">
        <f t="shared" si="2"/>
        <v>6713.8352365708679</v>
      </c>
      <c r="N11" s="2">
        <f t="shared" si="2"/>
        <v>6668.4219111382781</v>
      </c>
      <c r="O11" s="2">
        <f t="shared" si="2"/>
        <v>6623.3157678235348</v>
      </c>
      <c r="P11" s="2">
        <f t="shared" si="2"/>
        <v>6578.5147288036069</v>
      </c>
      <c r="Q11" s="2">
        <f t="shared" si="2"/>
        <v>6541.2465634617683</v>
      </c>
      <c r="R11" s="2">
        <f t="shared" si="2"/>
        <v>6504.189527258528</v>
      </c>
      <c r="S11" s="2">
        <f t="shared" si="2"/>
        <v>6467.3424241190924</v>
      </c>
      <c r="T11" s="2">
        <f t="shared" si="2"/>
        <v>6430.704064744592</v>
      </c>
      <c r="U11" s="2">
        <f t="shared" si="2"/>
        <v>6394.273266573693</v>
      </c>
      <c r="V11" s="2">
        <f t="shared" si="2"/>
        <v>6358.0488537444298</v>
      </c>
      <c r="W11" s="2">
        <f t="shared" si="2"/>
        <v>6322.029657056255</v>
      </c>
      <c r="X11" s="2">
        <f t="shared" si="2"/>
        <v>6286.2145139322947</v>
      </c>
      <c r="Y11" s="2">
        <f t="shared" si="2"/>
        <v>6250.6022683818319</v>
      </c>
      <c r="Z11" s="2">
        <f t="shared" si="2"/>
        <v>6215.1917709629888</v>
      </c>
      <c r="AA11" s="2">
        <f t="shared" si="2"/>
        <v>6195.4125276726882</v>
      </c>
      <c r="AB11" s="2">
        <f t="shared" si="2"/>
        <v>6175.6962299003299</v>
      </c>
      <c r="AC11" s="2">
        <f t="shared" si="2"/>
        <v>6156.0426773279269</v>
      </c>
      <c r="AD11" s="2">
        <f t="shared" si="2"/>
        <v>6136.4516702749806</v>
      </c>
      <c r="AE11" s="2">
        <f t="shared" si="2"/>
        <v>6116.9230096964611</v>
      </c>
      <c r="AF11" s="2">
        <f t="shared" si="2"/>
        <v>6097.4564971807768</v>
      </c>
      <c r="AG11" s="2">
        <f t="shared" si="2"/>
        <v>6078.0519349477636</v>
      </c>
      <c r="AH11" s="126">
        <f t="shared" si="2"/>
        <v>6058.7091258466717</v>
      </c>
    </row>
    <row r="12" spans="1:34" x14ac:dyDescent="0.25">
      <c r="A12" s="207"/>
      <c r="B12" s="10" t="s">
        <v>8</v>
      </c>
      <c r="C12" s="26" t="s">
        <v>13</v>
      </c>
      <c r="D12" s="66">
        <f>D13/D11*1000/365</f>
        <v>117.2828687649818</v>
      </c>
      <c r="E12" s="68">
        <f>D12+($J$12-$D$12)/6</f>
        <v>116.0690573041515</v>
      </c>
      <c r="F12" s="68">
        <f t="shared" ref="F12:I12" si="3">E12+($J$12-$D$12)/6</f>
        <v>114.8552458433212</v>
      </c>
      <c r="G12" s="68">
        <f t="shared" si="3"/>
        <v>113.6414343824909</v>
      </c>
      <c r="H12" s="68">
        <f t="shared" si="3"/>
        <v>112.4276229216606</v>
      </c>
      <c r="I12" s="68">
        <f t="shared" si="3"/>
        <v>111.2138114608303</v>
      </c>
      <c r="J12" s="84">
        <v>110</v>
      </c>
      <c r="K12" s="68">
        <f>(($Q$12-$J$12)/7)+J12</f>
        <v>109.28571428571429</v>
      </c>
      <c r="L12" s="68">
        <f t="shared" ref="L12:P12" si="4">(($Q$12-$J$12)/7)+K12</f>
        <v>108.57142857142858</v>
      </c>
      <c r="M12" s="68">
        <f t="shared" si="4"/>
        <v>107.85714285714288</v>
      </c>
      <c r="N12" s="68">
        <f t="shared" si="4"/>
        <v>107.14285714285717</v>
      </c>
      <c r="O12" s="68">
        <f t="shared" si="4"/>
        <v>106.42857142857146</v>
      </c>
      <c r="P12" s="68">
        <f t="shared" si="4"/>
        <v>105.71428571428575</v>
      </c>
      <c r="Q12" s="68">
        <v>105</v>
      </c>
      <c r="R12" s="68">
        <f>(($AH$12-$Q$12)/16)+Q12</f>
        <v>105.9375</v>
      </c>
      <c r="S12" s="68">
        <f t="shared" ref="S12:AG12" si="5">(($AH$12-$Q$12)/16)+R12</f>
        <v>106.875</v>
      </c>
      <c r="T12" s="68">
        <f t="shared" si="5"/>
        <v>107.8125</v>
      </c>
      <c r="U12" s="68">
        <f t="shared" si="5"/>
        <v>108.75</v>
      </c>
      <c r="V12" s="68">
        <f t="shared" si="5"/>
        <v>109.6875</v>
      </c>
      <c r="W12" s="68">
        <f t="shared" si="5"/>
        <v>110.625</v>
      </c>
      <c r="X12" s="68">
        <f t="shared" si="5"/>
        <v>111.5625</v>
      </c>
      <c r="Y12" s="68">
        <f t="shared" si="5"/>
        <v>112.5</v>
      </c>
      <c r="Z12" s="68">
        <f t="shared" si="5"/>
        <v>113.4375</v>
      </c>
      <c r="AA12" s="68">
        <f t="shared" si="5"/>
        <v>114.375</v>
      </c>
      <c r="AB12" s="68">
        <f t="shared" si="5"/>
        <v>115.3125</v>
      </c>
      <c r="AC12" s="68">
        <f t="shared" si="5"/>
        <v>116.25</v>
      </c>
      <c r="AD12" s="68">
        <f t="shared" si="5"/>
        <v>117.1875</v>
      </c>
      <c r="AE12" s="68">
        <f t="shared" si="5"/>
        <v>118.125</v>
      </c>
      <c r="AF12" s="68">
        <f t="shared" si="5"/>
        <v>119.0625</v>
      </c>
      <c r="AG12" s="68">
        <f t="shared" si="5"/>
        <v>120</v>
      </c>
      <c r="AH12" s="197">
        <f>IF(C10="urban", $E$4,$E$5)</f>
        <v>120</v>
      </c>
    </row>
    <row r="13" spans="1:34" x14ac:dyDescent="0.25">
      <c r="A13" s="207"/>
      <c r="B13" s="10" t="s">
        <v>14</v>
      </c>
      <c r="C13" s="26" t="s">
        <v>17</v>
      </c>
      <c r="D13" s="18">
        <f>'[1]Billed Cons'!$D$8+'[1]Billed Cons'!$H$8</f>
        <v>233118</v>
      </c>
      <c r="E13" s="2">
        <f t="shared" ref="E13:AH13" si="6">E12*E11*365/1000</f>
        <v>228707.35969343016</v>
      </c>
      <c r="F13" s="2">
        <f t="shared" si="6"/>
        <v>224316.5083197965</v>
      </c>
      <c r="G13" s="2">
        <f t="shared" si="6"/>
        <v>220444.6168078279</v>
      </c>
      <c r="H13" s="2">
        <f t="shared" si="6"/>
        <v>216614.84204559893</v>
      </c>
      <c r="I13" s="2">
        <f t="shared" si="6"/>
        <v>212826.79141884411</v>
      </c>
      <c r="J13" s="2">
        <f>J12*J11*365/1000</f>
        <v>275105.36276013358</v>
      </c>
      <c r="K13" s="48">
        <f t="shared" si="6"/>
        <v>271470.1964004403</v>
      </c>
      <c r="L13" s="2">
        <f t="shared" si="6"/>
        <v>267871.62053324014</v>
      </c>
      <c r="M13" s="2">
        <f t="shared" si="6"/>
        <v>264309.30647400249</v>
      </c>
      <c r="N13" s="2">
        <f t="shared" si="6"/>
        <v>260782.92831058631</v>
      </c>
      <c r="O13" s="2">
        <f t="shared" si="6"/>
        <v>257292.1628807736</v>
      </c>
      <c r="P13" s="2">
        <f t="shared" si="6"/>
        <v>253836.68974997927</v>
      </c>
      <c r="Q13" s="2">
        <f t="shared" si="6"/>
        <v>250693.27454467228</v>
      </c>
      <c r="R13" s="48">
        <f t="shared" si="6"/>
        <v>251498.71598604185</v>
      </c>
      <c r="S13" s="2">
        <f t="shared" si="6"/>
        <v>252286.98587587074</v>
      </c>
      <c r="T13" s="2">
        <f t="shared" si="6"/>
        <v>253058.25292280086</v>
      </c>
      <c r="U13" s="2">
        <f t="shared" si="6"/>
        <v>253812.68447505953</v>
      </c>
      <c r="V13" s="2">
        <f t="shared" si="6"/>
        <v>254550.44653045863</v>
      </c>
      <c r="W13" s="2">
        <f t="shared" si="6"/>
        <v>255271.70374632461</v>
      </c>
      <c r="X13" s="2">
        <f t="shared" si="6"/>
        <v>255976.61944935864</v>
      </c>
      <c r="Y13" s="2">
        <f t="shared" si="6"/>
        <v>256665.35564542896</v>
      </c>
      <c r="Z13" s="2">
        <f t="shared" si="6"/>
        <v>257338.07302929414</v>
      </c>
      <c r="AA13" s="2">
        <f t="shared" si="6"/>
        <v>258639.11236618576</v>
      </c>
      <c r="AB13" s="2">
        <f t="shared" si="6"/>
        <v>259929.26460128935</v>
      </c>
      <c r="AC13" s="2">
        <f t="shared" si="6"/>
        <v>261208.5858523706</v>
      </c>
      <c r="AD13" s="2">
        <f t="shared" si="6"/>
        <v>262477.1319902775</v>
      </c>
      <c r="AE13" s="2">
        <f t="shared" si="6"/>
        <v>263734.95863994397</v>
      </c>
      <c r="AF13" s="2">
        <f t="shared" si="6"/>
        <v>264982.12118138897</v>
      </c>
      <c r="AG13" s="2">
        <f t="shared" si="6"/>
        <v>266218.67475071206</v>
      </c>
      <c r="AH13" s="126">
        <f t="shared" si="6"/>
        <v>265371.45971208421</v>
      </c>
    </row>
    <row r="14" spans="1:34" x14ac:dyDescent="0.25">
      <c r="A14" s="207"/>
      <c r="B14" s="10" t="s">
        <v>15</v>
      </c>
      <c r="C14" s="26" t="s">
        <v>17</v>
      </c>
      <c r="D14" s="18">
        <f>'[1]Billed Cons'!$D$9+'[1]Billed Cons'!$D$10+'[1]Billed Cons'!$H$9+'[1]Billed Cons'!$H$10</f>
        <v>47814</v>
      </c>
      <c r="E14" s="69">
        <f>D14*(1+0.25*'[3]pag 1'!C7/10)</f>
        <v>52714.935000000005</v>
      </c>
      <c r="F14" s="69">
        <f>E14*(1+0.25*'[3]pag 1'!D7/10)</f>
        <v>58118.215837500007</v>
      </c>
      <c r="G14" s="69">
        <f>F14*(1+0.25*'[3]pag 1'!E7/10)</f>
        <v>64220.62850043751</v>
      </c>
      <c r="H14" s="69">
        <f>G14*(1+0.25*'[3]pag 1'!F7/10)</f>
        <v>70963.794492983448</v>
      </c>
      <c r="I14" s="69">
        <f>H14*(1+0.25*'[3]pag 1'!G7/10)</f>
        <v>78060.173942281806</v>
      </c>
      <c r="J14" s="86">
        <f>I14*(1+0.25*'[3]pag 1'!H7/10)</f>
        <v>78060.173942281806</v>
      </c>
      <c r="K14" s="69">
        <f>J14*(1+0.25*'[3]pag 1'!I7/10)</f>
        <v>78060.173942281806</v>
      </c>
      <c r="L14" s="69">
        <f>K14*(1+0.25*'[3]pag 1'!J7/10)</f>
        <v>78060.173942281806</v>
      </c>
      <c r="M14" s="69">
        <f>L14*(1+0.25*'[3]pag 1'!K7/10)</f>
        <v>78060.173942281806</v>
      </c>
      <c r="N14" s="69">
        <f>M14*(1+0.25*'[3]pag 1'!L7/10)</f>
        <v>78060.173942281806</v>
      </c>
      <c r="O14" s="69">
        <f>N14*(1+0.25*'[3]pag 1'!M7/10)</f>
        <v>78060.173942281806</v>
      </c>
      <c r="P14" s="69">
        <f>O14*(1+0.25*'[3]pag 1'!N7/10)</f>
        <v>78060.173942281806</v>
      </c>
      <c r="Q14" s="69">
        <f>P14*(1+0.25*'[3]pag 1'!O7/10)</f>
        <v>78060.173942281806</v>
      </c>
      <c r="R14" s="69">
        <f>Q14*(1+0.25*'[3]pag 1'!P7/10)</f>
        <v>78060.173942281806</v>
      </c>
      <c r="S14" s="69">
        <f>R14*(1+0.25*'[3]pag 1'!Q7/10)</f>
        <v>78060.173942281806</v>
      </c>
      <c r="T14" s="69">
        <f>S14*(1+0.25*'[3]pag 1'!R7/10)</f>
        <v>78060.173942281806</v>
      </c>
      <c r="U14" s="69">
        <f>T14*(1+0.25*'[3]pag 1'!S7/10)</f>
        <v>78060.173942281806</v>
      </c>
      <c r="V14" s="69">
        <f>U14*(1+0.25*'[3]pag 1'!T7/10)</f>
        <v>78060.173942281806</v>
      </c>
      <c r="W14" s="69">
        <f>V14*(1+0.25*'[3]pag 1'!U7/10)</f>
        <v>78060.173942281806</v>
      </c>
      <c r="X14" s="69">
        <f>W14*(1+0.25*'[3]pag 1'!V7/10)</f>
        <v>78060.173942281806</v>
      </c>
      <c r="Y14" s="69">
        <f>X14*(1+0.25*'[3]pag 1'!W7/10)</f>
        <v>78060.173942281806</v>
      </c>
      <c r="Z14" s="69">
        <f>Y14*(1+0.25*'[3]pag 1'!X7/10)</f>
        <v>78060.173942281806</v>
      </c>
      <c r="AA14" s="69">
        <f>Z14*(1+0.25*'[3]pag 1'!Y7/10)</f>
        <v>78060.173942281806</v>
      </c>
      <c r="AB14" s="69">
        <f>AA14*(1+0.25*'[3]pag 1'!Z7/10)</f>
        <v>78060.173942281806</v>
      </c>
      <c r="AC14" s="69">
        <f>AB14*(1+0.25*'[3]pag 1'!AA7/10)</f>
        <v>78060.173942281806</v>
      </c>
      <c r="AD14" s="69">
        <f>AC14*(1+0.25*'[3]pag 1'!AB7/10)</f>
        <v>78060.173942281806</v>
      </c>
      <c r="AE14" s="69">
        <f>AD14*(1+0.25*'[3]pag 1'!AC7/10)</f>
        <v>78060.173942281806</v>
      </c>
      <c r="AF14" s="69">
        <f>AE14*(1+0.25*'[3]pag 1'!AD7/10)</f>
        <v>78060.173942281806</v>
      </c>
      <c r="AG14" s="69">
        <f>AF14*(1+0.25*'[3]pag 1'!AE7/10)</f>
        <v>78060.173942281806</v>
      </c>
      <c r="AH14" s="120">
        <f>AG14*(1+0.25*'[3]pag 1'!AF7/10)</f>
        <v>78060.173942281806</v>
      </c>
    </row>
    <row r="15" spans="1:34" ht="15.75" thickBot="1" x14ac:dyDescent="0.3">
      <c r="A15" s="207"/>
      <c r="B15" s="12" t="s">
        <v>16</v>
      </c>
      <c r="C15" s="27" t="s">
        <v>18</v>
      </c>
      <c r="D15" s="52">
        <f t="shared" ref="D15:AH15" si="7">D13+D14</f>
        <v>280932</v>
      </c>
      <c r="E15" s="53">
        <f t="shared" si="7"/>
        <v>281422.29469343019</v>
      </c>
      <c r="F15" s="53">
        <f t="shared" si="7"/>
        <v>282434.72415729653</v>
      </c>
      <c r="G15" s="53">
        <f t="shared" si="7"/>
        <v>284665.24530826544</v>
      </c>
      <c r="H15" s="53">
        <f t="shared" si="7"/>
        <v>287578.63653858239</v>
      </c>
      <c r="I15" s="53">
        <f t="shared" si="7"/>
        <v>290886.96536112588</v>
      </c>
      <c r="J15" s="53">
        <f t="shared" si="7"/>
        <v>353165.53670241538</v>
      </c>
      <c r="K15" s="53">
        <f t="shared" si="7"/>
        <v>349530.3703427221</v>
      </c>
      <c r="L15" s="53">
        <f t="shared" si="7"/>
        <v>345931.79447552195</v>
      </c>
      <c r="M15" s="53">
        <f t="shared" si="7"/>
        <v>342369.48041628429</v>
      </c>
      <c r="N15" s="53">
        <f t="shared" si="7"/>
        <v>338843.10225286812</v>
      </c>
      <c r="O15" s="53">
        <f t="shared" si="7"/>
        <v>335352.3368230554</v>
      </c>
      <c r="P15" s="53">
        <f t="shared" si="7"/>
        <v>331896.86369226105</v>
      </c>
      <c r="Q15" s="53">
        <f t="shared" si="7"/>
        <v>328753.44848695409</v>
      </c>
      <c r="R15" s="53">
        <f t="shared" si="7"/>
        <v>329558.88992832368</v>
      </c>
      <c r="S15" s="53">
        <f t="shared" si="7"/>
        <v>330347.15981815255</v>
      </c>
      <c r="T15" s="53">
        <f t="shared" si="7"/>
        <v>331118.4268650827</v>
      </c>
      <c r="U15" s="53">
        <f t="shared" si="7"/>
        <v>331872.85841734137</v>
      </c>
      <c r="V15" s="53">
        <f t="shared" si="7"/>
        <v>332610.62047274044</v>
      </c>
      <c r="W15" s="53">
        <f t="shared" si="7"/>
        <v>333331.87768860639</v>
      </c>
      <c r="X15" s="53">
        <f t="shared" si="7"/>
        <v>334036.79339164041</v>
      </c>
      <c r="Y15" s="53">
        <f t="shared" si="7"/>
        <v>334725.52958771074</v>
      </c>
      <c r="Z15" s="53">
        <f t="shared" si="7"/>
        <v>335398.24697157595</v>
      </c>
      <c r="AA15" s="53">
        <f t="shared" si="7"/>
        <v>336699.28630846756</v>
      </c>
      <c r="AB15" s="53">
        <f t="shared" si="7"/>
        <v>337989.43854357116</v>
      </c>
      <c r="AC15" s="53">
        <f t="shared" si="7"/>
        <v>339268.7597946524</v>
      </c>
      <c r="AD15" s="53">
        <f t="shared" si="7"/>
        <v>340537.30593255931</v>
      </c>
      <c r="AE15" s="53">
        <f t="shared" si="7"/>
        <v>341795.13258222578</v>
      </c>
      <c r="AF15" s="53">
        <f t="shared" si="7"/>
        <v>343042.29512367077</v>
      </c>
      <c r="AG15" s="53">
        <f t="shared" si="7"/>
        <v>344278.84869299387</v>
      </c>
      <c r="AH15" s="131">
        <f t="shared" si="7"/>
        <v>343431.63365436601</v>
      </c>
    </row>
    <row r="16" spans="1:34" x14ac:dyDescent="0.25">
      <c r="A16" s="207"/>
      <c r="B16" s="203" t="s">
        <v>56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5"/>
    </row>
    <row r="17" spans="1:35" x14ac:dyDescent="0.25">
      <c r="A17" s="207"/>
      <c r="B17" s="10" t="s">
        <v>60</v>
      </c>
      <c r="C17" s="28" t="s">
        <v>2</v>
      </c>
      <c r="D17" s="20">
        <f t="shared" ref="D17:AH17" si="8">D18/D25</f>
        <v>0.64650813983043387</v>
      </c>
      <c r="E17" s="7">
        <f t="shared" si="8"/>
        <v>0.63975251099609043</v>
      </c>
      <c r="F17" s="7">
        <f t="shared" si="8"/>
        <v>0.63663913700688302</v>
      </c>
      <c r="G17" s="7">
        <f t="shared" si="8"/>
        <v>0.63253333155744129</v>
      </c>
      <c r="H17" s="7">
        <f t="shared" si="8"/>
        <v>0.62787466045038587</v>
      </c>
      <c r="I17" s="7">
        <f t="shared" si="8"/>
        <v>0.62290192228789742</v>
      </c>
      <c r="J17" s="7">
        <f t="shared" si="8"/>
        <v>0.46976613803213529</v>
      </c>
      <c r="K17" s="7">
        <f t="shared" si="8"/>
        <v>0.46983207478018363</v>
      </c>
      <c r="L17" s="7">
        <f t="shared" si="8"/>
        <v>0.46989854336770048</v>
      </c>
      <c r="M17" s="7">
        <f t="shared" si="8"/>
        <v>0.4699655236728808</v>
      </c>
      <c r="N17" s="7">
        <f t="shared" si="8"/>
        <v>0.47003299517842589</v>
      </c>
      <c r="O17" s="7">
        <f t="shared" si="8"/>
        <v>0.47010093696591887</v>
      </c>
      <c r="P17" s="7">
        <f t="shared" si="8"/>
        <v>0.47016932771014686</v>
      </c>
      <c r="Q17" s="7">
        <f t="shared" si="8"/>
        <v>0.47005038532124888</v>
      </c>
      <c r="R17" s="7">
        <f t="shared" si="8"/>
        <v>0.4672672529316621</v>
      </c>
      <c r="S17" s="7">
        <f t="shared" si="8"/>
        <v>0.46449674449598244</v>
      </c>
      <c r="T17" s="7">
        <f t="shared" si="8"/>
        <v>0.46173887414296544</v>
      </c>
      <c r="U17" s="7">
        <f t="shared" si="8"/>
        <v>0.45899365469276482</v>
      </c>
      <c r="V17" s="7">
        <f t="shared" si="8"/>
        <v>0.4562610976731834</v>
      </c>
      <c r="W17" s="7">
        <f t="shared" si="8"/>
        <v>0.4535412133359481</v>
      </c>
      <c r="X17" s="7">
        <f t="shared" si="8"/>
        <v>0.45083401067300566</v>
      </c>
      <c r="Y17" s="7">
        <f t="shared" si="8"/>
        <v>0.44813949743282921</v>
      </c>
      <c r="Z17" s="7">
        <f t="shared" si="8"/>
        <v>0.44545768013673492</v>
      </c>
      <c r="AA17" s="7">
        <f t="shared" si="8"/>
        <v>0.44236298209310937</v>
      </c>
      <c r="AB17" s="7">
        <f t="shared" si="8"/>
        <v>0.43928080933905295</v>
      </c>
      <c r="AC17" s="7">
        <f t="shared" si="8"/>
        <v>0.43621129019490534</v>
      </c>
      <c r="AD17" s="7">
        <f t="shared" si="8"/>
        <v>0.43315454962951938</v>
      </c>
      <c r="AE17" s="7">
        <f t="shared" si="8"/>
        <v>0.43011070927025752</v>
      </c>
      <c r="AF17" s="7">
        <f t="shared" si="8"/>
        <v>0.42707988741418268</v>
      </c>
      <c r="AG17" s="7">
        <f t="shared" si="8"/>
        <v>0.42406219904041742</v>
      </c>
      <c r="AH17" s="132">
        <f t="shared" si="8"/>
        <v>0.42238639563164043</v>
      </c>
    </row>
    <row r="18" spans="1:35" x14ac:dyDescent="0.25">
      <c r="A18" s="207"/>
      <c r="B18" s="10" t="s">
        <v>60</v>
      </c>
      <c r="C18" s="28" t="s">
        <v>18</v>
      </c>
      <c r="D18" s="18">
        <f>'Prognoza BA'!F12+'Prognoza BA'!F15</f>
        <v>513802</v>
      </c>
      <c r="E18" s="48">
        <f>'Prognoza BA'!G12+'Prognoza BA'!G15</f>
        <v>499769.25634712691</v>
      </c>
      <c r="F18" s="48">
        <f>'Prognoza BA'!H12+'Prognoza BA'!H15</f>
        <v>494849.65873081487</v>
      </c>
      <c r="G18" s="48">
        <f>'Prognoza BA'!I12+'Prognoza BA'!I15</f>
        <v>490004.32272294635</v>
      </c>
      <c r="H18" s="48">
        <f>'Prognoza BA'!J12+'Prognoza BA'!J15</f>
        <v>485221.83140762296</v>
      </c>
      <c r="I18" s="48">
        <f>'Prognoza BA'!K12+'Prognoza BA'!K15</f>
        <v>480495.81952595344</v>
      </c>
      <c r="J18" s="48">
        <f>'Prognoza BA'!L12+'Prognoza BA'!L15</f>
        <v>377636.82175923756</v>
      </c>
      <c r="K18" s="48">
        <f>'Prognoza BA'!M12+'Prognoza BA'!M15</f>
        <v>373858.34107240703</v>
      </c>
      <c r="L18" s="48">
        <f>'Prognoza BA'!N12+'Prognoza BA'!N15</f>
        <v>370117.65006650391</v>
      </c>
      <c r="M18" s="48">
        <f>'Prognoza BA'!O12+'Prognoza BA'!O15</f>
        <v>366414.37160431879</v>
      </c>
      <c r="N18" s="48">
        <f>'Prognoza BA'!P12+'Prognoza BA'!P15</f>
        <v>362748.13230951532</v>
      </c>
      <c r="O18" s="48">
        <f>'Prognoza BA'!Q12+'Prognoza BA'!Q15</f>
        <v>359118.56252912869</v>
      </c>
      <c r="P18" s="48">
        <f>'Prognoza BA'!R12+'Prognoza BA'!R15</f>
        <v>355525.29629643809</v>
      </c>
      <c r="Q18" s="48">
        <f>'Prognoza BA'!S12+'Prognoza BA'!S15</f>
        <v>351973.62605656794</v>
      </c>
      <c r="R18" s="48">
        <f>'Prognoza BA'!T12+'Prognoza BA'!T15</f>
        <v>348537.41991694592</v>
      </c>
      <c r="S18" s="48">
        <f>'Prognoza BA'!U12+'Prognoza BA'!U15</f>
        <v>345135.38977469713</v>
      </c>
      <c r="T18" s="48">
        <f>'Prognoza BA'!V12+'Prognoza BA'!V15</f>
        <v>341767.19380848302</v>
      </c>
      <c r="U18" s="48">
        <f>'Prognoza BA'!W12+'Prognoza BA'!W15</f>
        <v>338432.49362184526</v>
      </c>
      <c r="V18" s="48">
        <f>'Prognoza BA'!X12+'Prognoza BA'!X15</f>
        <v>335130.95420888346</v>
      </c>
      <c r="W18" s="48">
        <f>'Prognoza BA'!Y12+'Prognoza BA'!Y15</f>
        <v>331862.24392027606</v>
      </c>
      <c r="X18" s="48">
        <f>'Prognoza BA'!Z12+'Prognoza BA'!Z15</f>
        <v>328626.03442964313</v>
      </c>
      <c r="Y18" s="48">
        <f>'Prognoza BA'!AA12+'Prognoza BA'!AA15</f>
        <v>325422.00070024433</v>
      </c>
      <c r="Z18" s="48">
        <f>'Prognoza BA'!AB12+'Prognoza BA'!AB15</f>
        <v>322249.82095201215</v>
      </c>
      <c r="AA18" s="48">
        <f>'Prognoza BA'!AC12+'Prognoza BA'!AC15</f>
        <v>319122.32318752486</v>
      </c>
      <c r="AB18" s="48">
        <f>'Prognoza BA'!AD12+'Prognoza BA'!AD15</f>
        <v>316026.14373316366</v>
      </c>
      <c r="AC18" s="48">
        <f>'Prognoza BA'!AE12+'Prognoza BA'!AE15</f>
        <v>312960.96832923032</v>
      </c>
      <c r="AD18" s="48">
        <f>'Prognoza BA'!AF12+'Prognoza BA'!AF15</f>
        <v>309926.48586503702</v>
      </c>
      <c r="AE18" s="48">
        <f>'Prognoza BA'!AG12+'Prognoza BA'!AG15</f>
        <v>306922.3883473865</v>
      </c>
      <c r="AF18" s="48">
        <f>'Prognoza BA'!AH12+'Prognoza BA'!AH15</f>
        <v>303948.37086936709</v>
      </c>
      <c r="AG18" s="48">
        <f>'Prognoza BA'!AI12+'Prognoza BA'!AI15</f>
        <v>301004.13157946034</v>
      </c>
      <c r="AH18" s="198">
        <f>'Prognoza BA'!AJ12+'Prognoza BA'!AJ15</f>
        <v>298047.06115036574</v>
      </c>
    </row>
    <row r="19" spans="1:35" x14ac:dyDescent="0.25">
      <c r="A19" s="207"/>
      <c r="B19" s="10" t="s">
        <v>61</v>
      </c>
      <c r="C19" s="28" t="s">
        <v>2</v>
      </c>
      <c r="D19" s="20">
        <f t="shared" ref="D19:AH19" si="9">D20/D25</f>
        <v>0</v>
      </c>
      <c r="E19" s="7">
        <f t="shared" si="9"/>
        <v>0</v>
      </c>
      <c r="F19" s="7">
        <f t="shared" si="9"/>
        <v>0</v>
      </c>
      <c r="G19" s="7">
        <f t="shared" si="9"/>
        <v>0</v>
      </c>
      <c r="H19" s="7">
        <f t="shared" si="9"/>
        <v>0</v>
      </c>
      <c r="I19" s="7">
        <f t="shared" si="9"/>
        <v>0</v>
      </c>
      <c r="J19" s="7">
        <f t="shared" si="9"/>
        <v>9.0909090909090912E-2</v>
      </c>
      <c r="K19" s="7">
        <f t="shared" si="9"/>
        <v>9.0909090909090912E-2</v>
      </c>
      <c r="L19" s="7">
        <f t="shared" si="9"/>
        <v>9.0909090909090912E-2</v>
      </c>
      <c r="M19" s="7">
        <f t="shared" si="9"/>
        <v>9.0909090909090925E-2</v>
      </c>
      <c r="N19" s="7">
        <f t="shared" si="9"/>
        <v>9.0909090909090912E-2</v>
      </c>
      <c r="O19" s="7">
        <f t="shared" si="9"/>
        <v>9.0909090909090912E-2</v>
      </c>
      <c r="P19" s="7">
        <f t="shared" si="9"/>
        <v>9.0909090909090898E-2</v>
      </c>
      <c r="Q19" s="7">
        <f t="shared" si="9"/>
        <v>9.0909090909090912E-2</v>
      </c>
      <c r="R19" s="7">
        <f t="shared" si="9"/>
        <v>9.0909090909090912E-2</v>
      </c>
      <c r="S19" s="7">
        <f t="shared" si="9"/>
        <v>9.0909090909090912E-2</v>
      </c>
      <c r="T19" s="7">
        <f t="shared" si="9"/>
        <v>9.0909090909090912E-2</v>
      </c>
      <c r="U19" s="7">
        <f t="shared" si="9"/>
        <v>9.0909090909090925E-2</v>
      </c>
      <c r="V19" s="7">
        <f t="shared" si="9"/>
        <v>9.0909090909090925E-2</v>
      </c>
      <c r="W19" s="7">
        <f t="shared" si="9"/>
        <v>9.0909090909090898E-2</v>
      </c>
      <c r="X19" s="7">
        <f t="shared" si="9"/>
        <v>9.0909090909090912E-2</v>
      </c>
      <c r="Y19" s="7">
        <f t="shared" si="9"/>
        <v>9.0909090909090925E-2</v>
      </c>
      <c r="Z19" s="7">
        <f t="shared" si="9"/>
        <v>9.0909090909090912E-2</v>
      </c>
      <c r="AA19" s="7">
        <f t="shared" si="9"/>
        <v>9.0909090909090912E-2</v>
      </c>
      <c r="AB19" s="7">
        <f t="shared" si="9"/>
        <v>9.0909090909090925E-2</v>
      </c>
      <c r="AC19" s="7">
        <f t="shared" si="9"/>
        <v>9.0909090909090898E-2</v>
      </c>
      <c r="AD19" s="7">
        <f t="shared" si="9"/>
        <v>9.0909090909090925E-2</v>
      </c>
      <c r="AE19" s="7">
        <f t="shared" si="9"/>
        <v>9.0909090909090925E-2</v>
      </c>
      <c r="AF19" s="7">
        <f t="shared" si="9"/>
        <v>9.0909090909090884E-2</v>
      </c>
      <c r="AG19" s="7">
        <f t="shared" si="9"/>
        <v>9.0909090909090898E-2</v>
      </c>
      <c r="AH19" s="132">
        <f t="shared" si="9"/>
        <v>9.0909090909090912E-2</v>
      </c>
    </row>
    <row r="20" spans="1:35" x14ac:dyDescent="0.25">
      <c r="A20" s="207"/>
      <c r="B20" s="10" t="s">
        <v>61</v>
      </c>
      <c r="C20" s="29" t="s">
        <v>18</v>
      </c>
      <c r="D20" s="22">
        <f>'[1]Water Balance m3'!$T$16</f>
        <v>0</v>
      </c>
      <c r="E20" s="54">
        <f>'Prognoza BA'!G9</f>
        <v>0</v>
      </c>
      <c r="F20" s="54">
        <f>'Prognoza BA'!H9</f>
        <v>0</v>
      </c>
      <c r="G20" s="54">
        <f>'Prognoza BA'!I9</f>
        <v>0</v>
      </c>
      <c r="H20" s="54">
        <f>'Prognoza BA'!J9</f>
        <v>0</v>
      </c>
      <c r="I20" s="54">
        <f>'Prognoza BA'!K9</f>
        <v>0</v>
      </c>
      <c r="J20" s="54">
        <f>'Prognoza BA'!L9</f>
        <v>73080.235846165291</v>
      </c>
      <c r="K20" s="54">
        <f>'Prognoza BA'!M9</f>
        <v>72338.871141512922</v>
      </c>
      <c r="L20" s="54">
        <f>'Prognoza BA'!N9</f>
        <v>71604.944454202589</v>
      </c>
      <c r="M20" s="54">
        <f>'Prognoza BA'!O9</f>
        <v>70878.385202060323</v>
      </c>
      <c r="N20" s="54">
        <f>'Prognoza BA'!P9</f>
        <v>70159.123456238347</v>
      </c>
      <c r="O20" s="54">
        <f>'Prognoza BA'!Q9</f>
        <v>69447.089935218406</v>
      </c>
      <c r="P20" s="54">
        <f>'Prognoza BA'!R9</f>
        <v>68742.215998869913</v>
      </c>
      <c r="Q20" s="54">
        <f>'Prognoza BA'!S9</f>
        <v>68072.707454352203</v>
      </c>
      <c r="R20" s="54">
        <f>'Prognoza BA'!T9</f>
        <v>67809.630984526957</v>
      </c>
      <c r="S20" s="54">
        <f>'Prognoza BA'!U9</f>
        <v>67548.254959284968</v>
      </c>
      <c r="T20" s="54">
        <f>'Prognoza BA'!V9</f>
        <v>67288.562067356572</v>
      </c>
      <c r="U20" s="54">
        <f>'Prognoza BA'!W9</f>
        <v>67030.535203918684</v>
      </c>
      <c r="V20" s="54">
        <f>'Prognoza BA'!X9</f>
        <v>66774.157468162404</v>
      </c>
      <c r="W20" s="54">
        <f>'Prognoza BA'!Y9</f>
        <v>66519.412160888241</v>
      </c>
      <c r="X20" s="2">
        <f>'Prognoza BA'!Z9</f>
        <v>66266.282782128357</v>
      </c>
      <c r="Y20" s="2">
        <f>'Prognoza BA'!AA9</f>
        <v>66014.753028795516</v>
      </c>
      <c r="Z20" s="2">
        <f>'Prognoza BA'!AB9</f>
        <v>65764.80679235881</v>
      </c>
      <c r="AA20" s="2">
        <f>'Prognoza BA'!AC9</f>
        <v>65582.160949599245</v>
      </c>
      <c r="AB20" s="2">
        <f>'Prognoza BA'!AD9</f>
        <v>65401.558227673493</v>
      </c>
      <c r="AC20" s="2">
        <f>'Prognoza BA'!AE9</f>
        <v>65222.972812388267</v>
      </c>
      <c r="AD20" s="2">
        <f>'Prognoza BA'!AF9</f>
        <v>65046.379179759642</v>
      </c>
      <c r="AE20" s="2">
        <f>'Prognoza BA'!AG9</f>
        <v>64871.752092961236</v>
      </c>
      <c r="AF20" s="2">
        <f>'Prognoza BA'!AH9</f>
        <v>64699.066599303776</v>
      </c>
      <c r="AG20" s="2">
        <f>'Prognoza BA'!AI9</f>
        <v>64528.298027245415</v>
      </c>
      <c r="AH20" s="126">
        <f>'Prognoza BA'!AJ9</f>
        <v>64147.869480473179</v>
      </c>
    </row>
    <row r="21" spans="1:35" x14ac:dyDescent="0.25">
      <c r="A21" s="207"/>
      <c r="B21" s="4" t="s">
        <v>62</v>
      </c>
      <c r="C21" s="29" t="s">
        <v>2</v>
      </c>
      <c r="D21" s="21">
        <f t="shared" ref="D21:AH21" si="10">D22/D25</f>
        <v>0</v>
      </c>
      <c r="E21" s="7">
        <f t="shared" si="10"/>
        <v>0</v>
      </c>
      <c r="F21" s="7">
        <f t="shared" si="10"/>
        <v>0</v>
      </c>
      <c r="G21" s="7">
        <f t="shared" si="10"/>
        <v>0</v>
      </c>
      <c r="H21" s="7">
        <f t="shared" si="10"/>
        <v>0</v>
      </c>
      <c r="I21" s="7">
        <f t="shared" si="10"/>
        <v>0</v>
      </c>
      <c r="J21" s="7">
        <f t="shared" si="10"/>
        <v>0</v>
      </c>
      <c r="K21" s="7">
        <f t="shared" si="10"/>
        <v>0</v>
      </c>
      <c r="L21" s="7">
        <f t="shared" si="10"/>
        <v>0</v>
      </c>
      <c r="M21" s="7">
        <f t="shared" si="10"/>
        <v>0</v>
      </c>
      <c r="N21" s="7">
        <f t="shared" si="10"/>
        <v>0</v>
      </c>
      <c r="O21" s="7">
        <f t="shared" si="10"/>
        <v>0</v>
      </c>
      <c r="P21" s="7">
        <f t="shared" si="10"/>
        <v>0</v>
      </c>
      <c r="Q21" s="7">
        <f t="shared" si="10"/>
        <v>0</v>
      </c>
      <c r="R21" s="7">
        <f t="shared" si="10"/>
        <v>0</v>
      </c>
      <c r="S21" s="7">
        <f t="shared" si="10"/>
        <v>0</v>
      </c>
      <c r="T21" s="7">
        <f t="shared" si="10"/>
        <v>0</v>
      </c>
      <c r="U21" s="7">
        <f t="shared" si="10"/>
        <v>0</v>
      </c>
      <c r="V21" s="7">
        <f t="shared" si="10"/>
        <v>0</v>
      </c>
      <c r="W21" s="7">
        <f t="shared" si="10"/>
        <v>0</v>
      </c>
      <c r="X21" s="7">
        <f t="shared" si="10"/>
        <v>0</v>
      </c>
      <c r="Y21" s="7">
        <f t="shared" si="10"/>
        <v>0</v>
      </c>
      <c r="Z21" s="7">
        <f t="shared" si="10"/>
        <v>0</v>
      </c>
      <c r="AA21" s="7">
        <f t="shared" si="10"/>
        <v>0</v>
      </c>
      <c r="AB21" s="7">
        <f t="shared" si="10"/>
        <v>0</v>
      </c>
      <c r="AC21" s="7">
        <f t="shared" si="10"/>
        <v>0</v>
      </c>
      <c r="AD21" s="7">
        <f t="shared" si="10"/>
        <v>0</v>
      </c>
      <c r="AE21" s="7">
        <f t="shared" si="10"/>
        <v>0</v>
      </c>
      <c r="AF21" s="7">
        <f t="shared" si="10"/>
        <v>0</v>
      </c>
      <c r="AG21" s="7">
        <f t="shared" si="10"/>
        <v>0</v>
      </c>
      <c r="AH21" s="132">
        <f t="shared" si="10"/>
        <v>0</v>
      </c>
    </row>
    <row r="22" spans="1:35" x14ac:dyDescent="0.25">
      <c r="A22" s="207"/>
      <c r="B22" s="4" t="s">
        <v>62</v>
      </c>
      <c r="C22" s="29" t="s">
        <v>18</v>
      </c>
      <c r="D22" s="22">
        <v>0</v>
      </c>
      <c r="E22" s="45">
        <f>D22</f>
        <v>0</v>
      </c>
      <c r="F22" s="45">
        <f t="shared" ref="F22:AH22" si="11">E22</f>
        <v>0</v>
      </c>
      <c r="G22" s="45">
        <f t="shared" si="11"/>
        <v>0</v>
      </c>
      <c r="H22" s="45">
        <f t="shared" si="11"/>
        <v>0</v>
      </c>
      <c r="I22" s="45">
        <f t="shared" si="11"/>
        <v>0</v>
      </c>
      <c r="J22" s="65">
        <f t="shared" si="11"/>
        <v>0</v>
      </c>
      <c r="K22" s="82">
        <f t="shared" si="11"/>
        <v>0</v>
      </c>
      <c r="L22" s="54">
        <f t="shared" si="11"/>
        <v>0</v>
      </c>
      <c r="M22" s="54">
        <f t="shared" si="11"/>
        <v>0</v>
      </c>
      <c r="N22" s="54">
        <f t="shared" si="11"/>
        <v>0</v>
      </c>
      <c r="O22" s="54">
        <f t="shared" si="11"/>
        <v>0</v>
      </c>
      <c r="P22" s="54">
        <f t="shared" si="11"/>
        <v>0</v>
      </c>
      <c r="Q22" s="54">
        <f t="shared" si="11"/>
        <v>0</v>
      </c>
      <c r="R22" s="54">
        <f t="shared" si="11"/>
        <v>0</v>
      </c>
      <c r="S22" s="54">
        <f t="shared" si="11"/>
        <v>0</v>
      </c>
      <c r="T22" s="54">
        <f t="shared" si="11"/>
        <v>0</v>
      </c>
      <c r="U22" s="54">
        <f t="shared" si="11"/>
        <v>0</v>
      </c>
      <c r="V22" s="54">
        <f t="shared" si="11"/>
        <v>0</v>
      </c>
      <c r="W22" s="54">
        <f t="shared" si="11"/>
        <v>0</v>
      </c>
      <c r="X22" s="54">
        <f t="shared" si="11"/>
        <v>0</v>
      </c>
      <c r="Y22" s="54">
        <f t="shared" si="11"/>
        <v>0</v>
      </c>
      <c r="Z22" s="54">
        <f t="shared" si="11"/>
        <v>0</v>
      </c>
      <c r="AA22" s="54">
        <f t="shared" si="11"/>
        <v>0</v>
      </c>
      <c r="AB22" s="54">
        <f t="shared" si="11"/>
        <v>0</v>
      </c>
      <c r="AC22" s="54">
        <f t="shared" si="11"/>
        <v>0</v>
      </c>
      <c r="AD22" s="54">
        <f t="shared" si="11"/>
        <v>0</v>
      </c>
      <c r="AE22" s="54">
        <f t="shared" si="11"/>
        <v>0</v>
      </c>
      <c r="AF22" s="54">
        <f t="shared" si="11"/>
        <v>0</v>
      </c>
      <c r="AG22" s="54">
        <f t="shared" si="11"/>
        <v>0</v>
      </c>
      <c r="AH22" s="199">
        <f t="shared" si="11"/>
        <v>0</v>
      </c>
    </row>
    <row r="23" spans="1:35" x14ac:dyDescent="0.25">
      <c r="A23" s="207"/>
      <c r="B23" s="11" t="s">
        <v>63</v>
      </c>
      <c r="C23" s="30" t="s">
        <v>2</v>
      </c>
      <c r="D23" s="24">
        <f t="shared" ref="D23:AH23" si="12">D24/D25</f>
        <v>0.64650813983043387</v>
      </c>
      <c r="E23" s="17">
        <f t="shared" si="12"/>
        <v>0.63975251099609043</v>
      </c>
      <c r="F23" s="17">
        <f t="shared" si="12"/>
        <v>0.63663913700688302</v>
      </c>
      <c r="G23" s="17">
        <f t="shared" si="12"/>
        <v>0.63253333155744129</v>
      </c>
      <c r="H23" s="17">
        <f t="shared" si="12"/>
        <v>0.62787466045038587</v>
      </c>
      <c r="I23" s="17">
        <f t="shared" si="12"/>
        <v>0.62290192228789742</v>
      </c>
      <c r="J23" s="17">
        <f t="shared" si="12"/>
        <v>0.56067522894122623</v>
      </c>
      <c r="K23" s="17">
        <f t="shared" si="12"/>
        <v>0.56074116568927457</v>
      </c>
      <c r="L23" s="17">
        <f t="shared" si="12"/>
        <v>0.56080763427679148</v>
      </c>
      <c r="M23" s="17">
        <f t="shared" si="12"/>
        <v>0.56087461458197174</v>
      </c>
      <c r="N23" s="17">
        <f t="shared" si="12"/>
        <v>0.56094208608751683</v>
      </c>
      <c r="O23" s="17">
        <f t="shared" si="12"/>
        <v>0.56101002787500975</v>
      </c>
      <c r="P23" s="17">
        <f t="shared" si="12"/>
        <v>0.5610784186192378</v>
      </c>
      <c r="Q23" s="17">
        <f t="shared" si="12"/>
        <v>0.56095947623033982</v>
      </c>
      <c r="R23" s="17">
        <f t="shared" si="12"/>
        <v>0.55817634384075299</v>
      </c>
      <c r="S23" s="17">
        <f t="shared" si="12"/>
        <v>0.55540583540507338</v>
      </c>
      <c r="T23" s="17">
        <f t="shared" si="12"/>
        <v>0.55264796505205638</v>
      </c>
      <c r="U23" s="17">
        <f t="shared" si="12"/>
        <v>0.54990274560185581</v>
      </c>
      <c r="V23" s="17">
        <f t="shared" si="12"/>
        <v>0.54717018858227429</v>
      </c>
      <c r="W23" s="17">
        <f t="shared" si="12"/>
        <v>0.54445030424503904</v>
      </c>
      <c r="X23" s="17">
        <f t="shared" si="12"/>
        <v>0.5417431015820966</v>
      </c>
      <c r="Y23" s="17">
        <f t="shared" si="12"/>
        <v>0.53904858834192015</v>
      </c>
      <c r="Z23" s="17">
        <f t="shared" si="12"/>
        <v>0.53636677104582586</v>
      </c>
      <c r="AA23" s="17">
        <f t="shared" si="12"/>
        <v>0.53327207300220025</v>
      </c>
      <c r="AB23" s="17">
        <f t="shared" si="12"/>
        <v>0.53018990024814383</v>
      </c>
      <c r="AC23" s="17">
        <f t="shared" si="12"/>
        <v>0.52712038110399617</v>
      </c>
      <c r="AD23" s="17">
        <f t="shared" si="12"/>
        <v>0.52406364053861032</v>
      </c>
      <c r="AE23" s="17">
        <f t="shared" si="12"/>
        <v>0.52101980017934846</v>
      </c>
      <c r="AF23" s="17">
        <f t="shared" si="12"/>
        <v>0.51798897832327362</v>
      </c>
      <c r="AG23" s="17">
        <f t="shared" si="12"/>
        <v>0.51497128994950836</v>
      </c>
      <c r="AH23" s="133">
        <f t="shared" si="12"/>
        <v>0.51329548654073132</v>
      </c>
    </row>
    <row r="24" spans="1:35" ht="15.75" thickBot="1" x14ac:dyDescent="0.3">
      <c r="A24" s="207"/>
      <c r="B24" s="12" t="s">
        <v>63</v>
      </c>
      <c r="C24" s="31" t="s">
        <v>17</v>
      </c>
      <c r="D24" s="52">
        <f>D18+D20+D22</f>
        <v>513802</v>
      </c>
      <c r="E24" s="53">
        <f t="shared" ref="E24:AH24" si="13">E22+E20+E18</f>
        <v>499769.25634712691</v>
      </c>
      <c r="F24" s="53">
        <f t="shared" si="13"/>
        <v>494849.65873081487</v>
      </c>
      <c r="G24" s="53">
        <f t="shared" si="13"/>
        <v>490004.32272294635</v>
      </c>
      <c r="H24" s="53">
        <f t="shared" si="13"/>
        <v>485221.83140762296</v>
      </c>
      <c r="I24" s="53">
        <f t="shared" si="13"/>
        <v>480495.81952595344</v>
      </c>
      <c r="J24" s="53">
        <f t="shared" si="13"/>
        <v>450717.05760540284</v>
      </c>
      <c r="K24" s="53">
        <f t="shared" si="13"/>
        <v>446197.21221391996</v>
      </c>
      <c r="L24" s="53">
        <f t="shared" si="13"/>
        <v>441722.59452070651</v>
      </c>
      <c r="M24" s="53">
        <f t="shared" si="13"/>
        <v>437292.75680637913</v>
      </c>
      <c r="N24" s="53">
        <f t="shared" si="13"/>
        <v>432907.25576575368</v>
      </c>
      <c r="O24" s="53">
        <f t="shared" si="13"/>
        <v>428565.65246434708</v>
      </c>
      <c r="P24" s="53">
        <f t="shared" si="13"/>
        <v>424267.512295308</v>
      </c>
      <c r="Q24" s="53">
        <f t="shared" si="13"/>
        <v>420046.33351092017</v>
      </c>
      <c r="R24" s="53">
        <f t="shared" si="13"/>
        <v>416347.05090147286</v>
      </c>
      <c r="S24" s="53">
        <f t="shared" si="13"/>
        <v>412683.6447339821</v>
      </c>
      <c r="T24" s="53">
        <f t="shared" si="13"/>
        <v>409055.75587583962</v>
      </c>
      <c r="U24" s="53">
        <f t="shared" si="13"/>
        <v>405463.02882576396</v>
      </c>
      <c r="V24" s="53">
        <f t="shared" si="13"/>
        <v>401905.11167704588</v>
      </c>
      <c r="W24" s="53">
        <f t="shared" si="13"/>
        <v>398381.65608116431</v>
      </c>
      <c r="X24" s="53">
        <f t="shared" si="13"/>
        <v>394892.3172117715</v>
      </c>
      <c r="Y24" s="53">
        <f t="shared" si="13"/>
        <v>391436.75372903986</v>
      </c>
      <c r="Z24" s="53">
        <f t="shared" si="13"/>
        <v>388014.62774437096</v>
      </c>
      <c r="AA24" s="53">
        <f t="shared" si="13"/>
        <v>384704.48413712409</v>
      </c>
      <c r="AB24" s="53">
        <f t="shared" si="13"/>
        <v>381427.70196083712</v>
      </c>
      <c r="AC24" s="53">
        <f t="shared" si="13"/>
        <v>378183.94114161859</v>
      </c>
      <c r="AD24" s="53">
        <f t="shared" si="13"/>
        <v>374972.86504479666</v>
      </c>
      <c r="AE24" s="53">
        <f t="shared" si="13"/>
        <v>371794.14044034772</v>
      </c>
      <c r="AF24" s="53">
        <f t="shared" si="13"/>
        <v>368647.43746867089</v>
      </c>
      <c r="AG24" s="53">
        <f t="shared" si="13"/>
        <v>365532.42960670579</v>
      </c>
      <c r="AH24" s="131">
        <f t="shared" si="13"/>
        <v>362194.93063083891</v>
      </c>
    </row>
    <row r="25" spans="1:35" ht="15.75" thickBot="1" x14ac:dyDescent="0.3">
      <c r="A25" s="208"/>
      <c r="B25" s="13" t="s">
        <v>19</v>
      </c>
      <c r="C25" s="32" t="s">
        <v>17</v>
      </c>
      <c r="D25" s="135">
        <f>D15+D24</f>
        <v>794734</v>
      </c>
      <c r="E25" s="98">
        <f t="shared" ref="E25:AG25" si="14">E15+E24</f>
        <v>781191.5510405571</v>
      </c>
      <c r="F25" s="98">
        <f t="shared" si="14"/>
        <v>777284.3828881114</v>
      </c>
      <c r="G25" s="98">
        <f t="shared" si="14"/>
        <v>774669.56803121185</v>
      </c>
      <c r="H25" s="98">
        <f t="shared" si="14"/>
        <v>772800.46794620529</v>
      </c>
      <c r="I25" s="98">
        <f t="shared" si="14"/>
        <v>771382.78488707938</v>
      </c>
      <c r="J25" s="98">
        <f t="shared" si="14"/>
        <v>803882.59430781822</v>
      </c>
      <c r="K25" s="98">
        <f t="shared" si="14"/>
        <v>795727.58255664213</v>
      </c>
      <c r="L25" s="98">
        <f t="shared" si="14"/>
        <v>787654.38899622846</v>
      </c>
      <c r="M25" s="98">
        <f t="shared" si="14"/>
        <v>779662.23722266336</v>
      </c>
      <c r="N25" s="98">
        <f t="shared" si="14"/>
        <v>771750.3580186218</v>
      </c>
      <c r="O25" s="98">
        <f t="shared" si="14"/>
        <v>763917.98928740248</v>
      </c>
      <c r="P25" s="98">
        <f t="shared" si="14"/>
        <v>756164.3759875691</v>
      </c>
      <c r="Q25" s="98">
        <f t="shared" si="14"/>
        <v>748799.78199787426</v>
      </c>
      <c r="R25" s="98">
        <f t="shared" si="14"/>
        <v>745905.94082979648</v>
      </c>
      <c r="S25" s="98">
        <f t="shared" si="14"/>
        <v>743030.80455213459</v>
      </c>
      <c r="T25" s="98">
        <f t="shared" si="14"/>
        <v>740174.18274092232</v>
      </c>
      <c r="U25" s="98">
        <f t="shared" si="14"/>
        <v>737335.88724310533</v>
      </c>
      <c r="V25" s="98">
        <f t="shared" si="14"/>
        <v>734515.73214978632</v>
      </c>
      <c r="W25" s="98">
        <f t="shared" si="14"/>
        <v>731713.53376977076</v>
      </c>
      <c r="X25" s="98">
        <f t="shared" si="14"/>
        <v>728929.11060341191</v>
      </c>
      <c r="Y25" s="98">
        <f t="shared" si="14"/>
        <v>726162.28331675055</v>
      </c>
      <c r="Z25" s="98">
        <f t="shared" si="14"/>
        <v>723412.87471594685</v>
      </c>
      <c r="AA25" s="98">
        <f t="shared" si="14"/>
        <v>721403.77044559165</v>
      </c>
      <c r="AB25" s="98">
        <f t="shared" si="14"/>
        <v>719417.14050440828</v>
      </c>
      <c r="AC25" s="98">
        <f t="shared" si="14"/>
        <v>717452.70093627099</v>
      </c>
      <c r="AD25" s="98">
        <f t="shared" si="14"/>
        <v>715510.17097735591</v>
      </c>
      <c r="AE25" s="98">
        <f t="shared" si="14"/>
        <v>713589.27302257344</v>
      </c>
      <c r="AF25" s="98">
        <f t="shared" si="14"/>
        <v>711689.73259234172</v>
      </c>
      <c r="AG25" s="98">
        <f t="shared" si="14"/>
        <v>709811.27829969965</v>
      </c>
      <c r="AH25" s="170">
        <f>AH15+AH24</f>
        <v>705626.56428520498</v>
      </c>
      <c r="AI25" s="1"/>
    </row>
    <row r="26" spans="1:35" ht="15" customHeight="1" x14ac:dyDescent="0.25">
      <c r="A26" s="36" t="s">
        <v>24</v>
      </c>
      <c r="B26" s="37" t="s">
        <v>21</v>
      </c>
      <c r="C26" s="33"/>
      <c r="D26" s="38"/>
      <c r="E26" s="38"/>
      <c r="F26" s="38"/>
      <c r="G26" s="38"/>
      <c r="H26" s="38"/>
      <c r="I26" s="38"/>
      <c r="J26" s="87">
        <f t="shared" ref="J26" si="15">J28/J27</f>
        <v>2.1678289391370122</v>
      </c>
      <c r="K26" s="55">
        <f t="shared" ref="K26:AH26" si="16">K28/K27</f>
        <v>2.1681543499868496</v>
      </c>
      <c r="L26" s="6">
        <f t="shared" si="16"/>
        <v>2.1684824844636981</v>
      </c>
      <c r="M26" s="49">
        <f t="shared" si="16"/>
        <v>2.168813245616231</v>
      </c>
      <c r="N26" s="6">
        <f t="shared" si="16"/>
        <v>2.1691465344382546</v>
      </c>
      <c r="O26" s="6">
        <f t="shared" si="16"/>
        <v>2.1694822498355117</v>
      </c>
      <c r="P26" s="6">
        <f t="shared" si="16"/>
        <v>2.1698202885922049</v>
      </c>
      <c r="Q26" s="6">
        <f t="shared" si="16"/>
        <v>2.16923245308584</v>
      </c>
      <c r="R26" s="6">
        <f t="shared" si="16"/>
        <v>2.1555680396562664</v>
      </c>
      <c r="S26" s="6">
        <f t="shared" si="16"/>
        <v>2.1421355209389086</v>
      </c>
      <c r="T26" s="6">
        <f t="shared" si="16"/>
        <v>2.1289295185429893</v>
      </c>
      <c r="U26" s="6">
        <f t="shared" si="16"/>
        <v>2.1159448165362527</v>
      </c>
      <c r="V26" s="6">
        <f t="shared" si="16"/>
        <v>2.1031763553711822</v>
      </c>
      <c r="W26" s="39">
        <f t="shared" si="16"/>
        <v>2.0906192260816163</v>
      </c>
      <c r="X26" s="6">
        <f t="shared" si="16"/>
        <v>2.0782686647358153</v>
      </c>
      <c r="Y26" s="6">
        <f t="shared" si="16"/>
        <v>2.066120047132864</v>
      </c>
      <c r="Z26" s="6">
        <f t="shared" si="16"/>
        <v>2.0541688837300445</v>
      </c>
      <c r="AA26" s="6">
        <f t="shared" si="16"/>
        <v>2.0405484593713679</v>
      </c>
      <c r="AB26" s="6">
        <f t="shared" si="16"/>
        <v>2.0271615124578637</v>
      </c>
      <c r="AC26" s="6">
        <f t="shared" si="16"/>
        <v>2.0140029604244818</v>
      </c>
      <c r="AD26" s="6">
        <f t="shared" si="16"/>
        <v>2.001067860120517</v>
      </c>
      <c r="AE26" s="6">
        <f t="shared" si="16"/>
        <v>1.988351403121799</v>
      </c>
      <c r="AF26" s="6">
        <f t="shared" si="16"/>
        <v>1.9758489112302748</v>
      </c>
      <c r="AG26" s="6">
        <f t="shared" si="16"/>
        <v>1.963555832152305</v>
      </c>
      <c r="AH26" s="6">
        <f t="shared" si="16"/>
        <v>1.9567949876032027</v>
      </c>
    </row>
    <row r="27" spans="1:35" ht="30" x14ac:dyDescent="0.25">
      <c r="A27" s="40" t="s">
        <v>25</v>
      </c>
      <c r="B27" s="8" t="s">
        <v>20</v>
      </c>
      <c r="C27" s="26"/>
      <c r="D27" s="41"/>
      <c r="E27" s="41"/>
      <c r="F27" s="41"/>
      <c r="G27" s="41"/>
      <c r="H27" s="41"/>
      <c r="I27" s="41"/>
      <c r="J27" s="42">
        <v>1.05</v>
      </c>
      <c r="K27" s="42">
        <f>J27</f>
        <v>1.05</v>
      </c>
      <c r="L27" s="5">
        <f t="shared" ref="L27:AH27" si="17">K27</f>
        <v>1.05</v>
      </c>
      <c r="M27" s="50">
        <f t="shared" si="17"/>
        <v>1.05</v>
      </c>
      <c r="N27" s="5">
        <f t="shared" si="17"/>
        <v>1.05</v>
      </c>
      <c r="O27" s="5">
        <f t="shared" si="17"/>
        <v>1.05</v>
      </c>
      <c r="P27" s="5">
        <f t="shared" si="17"/>
        <v>1.05</v>
      </c>
      <c r="Q27" s="5">
        <f t="shared" si="17"/>
        <v>1.05</v>
      </c>
      <c r="R27" s="5">
        <f t="shared" si="17"/>
        <v>1.05</v>
      </c>
      <c r="S27" s="5">
        <f t="shared" si="17"/>
        <v>1.05</v>
      </c>
      <c r="T27" s="5">
        <f t="shared" si="17"/>
        <v>1.05</v>
      </c>
      <c r="U27" s="5">
        <f t="shared" si="17"/>
        <v>1.05</v>
      </c>
      <c r="V27" s="5">
        <f t="shared" si="17"/>
        <v>1.05</v>
      </c>
      <c r="W27" s="42">
        <f t="shared" si="17"/>
        <v>1.05</v>
      </c>
      <c r="X27" s="5">
        <f t="shared" si="17"/>
        <v>1.05</v>
      </c>
      <c r="Y27" s="5">
        <f t="shared" si="17"/>
        <v>1.05</v>
      </c>
      <c r="Z27" s="5">
        <f t="shared" si="17"/>
        <v>1.05</v>
      </c>
      <c r="AA27" s="5">
        <f t="shared" si="17"/>
        <v>1.05</v>
      </c>
      <c r="AB27" s="5">
        <f t="shared" si="17"/>
        <v>1.05</v>
      </c>
      <c r="AC27" s="5">
        <f t="shared" si="17"/>
        <v>1.05</v>
      </c>
      <c r="AD27" s="5">
        <f t="shared" si="17"/>
        <v>1.05</v>
      </c>
      <c r="AE27" s="5">
        <f t="shared" si="17"/>
        <v>1.05</v>
      </c>
      <c r="AF27" s="5">
        <f t="shared" si="17"/>
        <v>1.05</v>
      </c>
      <c r="AG27" s="5">
        <f t="shared" si="17"/>
        <v>1.05</v>
      </c>
      <c r="AH27" s="5">
        <f t="shared" si="17"/>
        <v>1.05</v>
      </c>
    </row>
    <row r="28" spans="1:35" ht="15.75" thickBot="1" x14ac:dyDescent="0.3">
      <c r="A28" s="9"/>
      <c r="B28" s="43" t="s">
        <v>26</v>
      </c>
      <c r="C28" s="25"/>
      <c r="D28" s="34">
        <f t="shared" ref="D28:I28" si="18">(D15+D18+D20+D22)/D15</f>
        <v>2.8289194538180058</v>
      </c>
      <c r="E28" s="34">
        <f t="shared" si="18"/>
        <v>2.775869452317397</v>
      </c>
      <c r="F28" s="34">
        <f t="shared" si="18"/>
        <v>2.7520850533067525</v>
      </c>
      <c r="G28" s="34">
        <f t="shared" si="18"/>
        <v>2.7213352553534178</v>
      </c>
      <c r="H28" s="34">
        <f t="shared" si="18"/>
        <v>2.6872666107884688</v>
      </c>
      <c r="I28" s="34">
        <f t="shared" si="18"/>
        <v>2.6518300121472782</v>
      </c>
      <c r="J28" s="34">
        <f>(J15+J18+J20+J22)/(J15)</f>
        <v>2.276220386093863</v>
      </c>
      <c r="K28" s="34">
        <f>(K15+K18+K20+K22)/(K15)</f>
        <v>2.2765620674861924</v>
      </c>
      <c r="L28" s="34">
        <f t="shared" ref="L28:AH28" si="19">(L15+L18+L20+L22)/(L15)</f>
        <v>2.276906608686883</v>
      </c>
      <c r="M28" s="46">
        <f t="shared" si="19"/>
        <v>2.2772539078970429</v>
      </c>
      <c r="N28" s="34">
        <f t="shared" si="19"/>
        <v>2.2776038611601672</v>
      </c>
      <c r="O28" s="34">
        <f t="shared" si="19"/>
        <v>2.2779563623272874</v>
      </c>
      <c r="P28" s="34">
        <f t="shared" si="19"/>
        <v>2.2783113030218152</v>
      </c>
      <c r="Q28" s="34">
        <f t="shared" si="19"/>
        <v>2.2776940757401323</v>
      </c>
      <c r="R28" s="34">
        <f t="shared" si="19"/>
        <v>2.2633464416390798</v>
      </c>
      <c r="S28" s="34">
        <f t="shared" si="19"/>
        <v>2.2492422969858543</v>
      </c>
      <c r="T28" s="34">
        <f t="shared" si="19"/>
        <v>2.235375994470139</v>
      </c>
      <c r="U28" s="34">
        <f t="shared" si="19"/>
        <v>2.2217420573630653</v>
      </c>
      <c r="V28" s="34">
        <f t="shared" si="19"/>
        <v>2.2083351731397416</v>
      </c>
      <c r="W28" s="34">
        <f t="shared" si="19"/>
        <v>2.1951501873856971</v>
      </c>
      <c r="X28" s="34">
        <f t="shared" si="19"/>
        <v>2.1821820979726061</v>
      </c>
      <c r="Y28" s="34">
        <f t="shared" si="19"/>
        <v>2.1694260494895072</v>
      </c>
      <c r="Z28" s="34">
        <f t="shared" si="19"/>
        <v>2.156877327916547</v>
      </c>
      <c r="AA28" s="34">
        <f t="shared" si="19"/>
        <v>2.1425758823399361</v>
      </c>
      <c r="AB28" s="34">
        <f t="shared" si="19"/>
        <v>2.1285195880807568</v>
      </c>
      <c r="AC28" s="34">
        <f t="shared" si="19"/>
        <v>2.1147031084457062</v>
      </c>
      <c r="AD28" s="34">
        <f t="shared" si="19"/>
        <v>2.1011212531265429</v>
      </c>
      <c r="AE28" s="34">
        <f t="shared" si="19"/>
        <v>2.087768973277889</v>
      </c>
      <c r="AF28" s="34">
        <f t="shared" si="19"/>
        <v>2.0746413567917887</v>
      </c>
      <c r="AG28" s="34">
        <f t="shared" si="19"/>
        <v>2.0617336237599204</v>
      </c>
      <c r="AH28" s="44">
        <f t="shared" si="19"/>
        <v>2.0546347369833629</v>
      </c>
    </row>
    <row r="29" spans="1:35" x14ac:dyDescent="0.25">
      <c r="C29"/>
    </row>
    <row r="30" spans="1:35" x14ac:dyDescent="0.25">
      <c r="A30" t="s">
        <v>34</v>
      </c>
      <c r="C30" s="35">
        <f>D18-K18</f>
        <v>139943.65892759297</v>
      </c>
      <c r="K30" s="1"/>
    </row>
    <row r="31" spans="1:35" x14ac:dyDescent="0.25">
      <c r="C31" s="70"/>
      <c r="J31">
        <f>J15*J28</f>
        <v>803882.59430781833</v>
      </c>
    </row>
  </sheetData>
  <dataConsolidate/>
  <mergeCells count="4">
    <mergeCell ref="B7:C7"/>
    <mergeCell ref="B2:C2"/>
    <mergeCell ref="B16:AH16"/>
    <mergeCell ref="A7:A2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AJ23"/>
  <sheetViews>
    <sheetView zoomScale="80" zoomScaleNormal="80" workbookViewId="0">
      <selection activeCell="AK18" sqref="AK18"/>
    </sheetView>
  </sheetViews>
  <sheetFormatPr defaultRowHeight="15" outlineLevelCol="1" x14ac:dyDescent="0.25"/>
  <cols>
    <col min="1" max="1" width="15.28515625" customWidth="1"/>
    <col min="2" max="2" width="5" customWidth="1"/>
    <col min="3" max="3" width="3.85546875" customWidth="1"/>
    <col min="4" max="4" width="31.140625" customWidth="1"/>
    <col min="5" max="5" width="8.85546875" style="83" customWidth="1"/>
    <col min="6" max="6" width="11.140625" customWidth="1"/>
    <col min="7" max="7" width="11.5703125" hidden="1" customWidth="1" outlineLevel="1"/>
    <col min="8" max="8" width="10.5703125" hidden="1" customWidth="1" outlineLevel="1"/>
    <col min="9" max="11" width="12.5703125" hidden="1" customWidth="1" outlineLevel="1"/>
    <col min="12" max="12" width="12.5703125" customWidth="1" collapsed="1"/>
    <col min="13" max="13" width="12.5703125" hidden="1" customWidth="1" outlineLevel="1"/>
    <col min="14" max="15" width="10.140625" hidden="1" customWidth="1" outlineLevel="1"/>
    <col min="16" max="16" width="12.5703125" hidden="1" customWidth="1" outlineLevel="1"/>
    <col min="17" max="23" width="10.140625" hidden="1" customWidth="1" outlineLevel="1"/>
    <col min="24" max="24" width="10.5703125" hidden="1" customWidth="1" outlineLevel="1"/>
    <col min="25" max="25" width="12.5703125" hidden="1" customWidth="1" outlineLevel="1"/>
    <col min="26" max="35" width="10.140625" hidden="1" customWidth="1" outlineLevel="1"/>
    <col min="36" max="36" width="10.140625" customWidth="1" collapsed="1"/>
  </cols>
  <sheetData>
    <row r="1" spans="1:36" ht="15.75" thickBot="1" x14ac:dyDescent="0.3">
      <c r="B1" s="217" t="s">
        <v>99</v>
      </c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</row>
    <row r="2" spans="1:36" ht="15.75" thickBot="1" x14ac:dyDescent="0.3">
      <c r="A2" s="209">
        <f>'Prognoza Apa'!A7</f>
        <v>0</v>
      </c>
      <c r="B2" s="215" t="str">
        <f>'Prognoza Apa'!B7</f>
        <v>Intorsura Buzaului</v>
      </c>
      <c r="C2" s="216"/>
      <c r="D2" s="216"/>
      <c r="E2" s="94" t="s">
        <v>64</v>
      </c>
      <c r="F2" s="16">
        <v>2018</v>
      </c>
      <c r="G2" s="16">
        <v>2019</v>
      </c>
      <c r="H2" s="16">
        <v>2020</v>
      </c>
      <c r="I2" s="16">
        <v>2021</v>
      </c>
      <c r="J2" s="16">
        <v>2022</v>
      </c>
      <c r="K2" s="16">
        <v>2023</v>
      </c>
      <c r="L2" s="16">
        <v>2024</v>
      </c>
      <c r="M2" s="16">
        <v>2025</v>
      </c>
      <c r="N2" s="16">
        <v>2026</v>
      </c>
      <c r="O2" s="16">
        <v>2027</v>
      </c>
      <c r="P2" s="16">
        <v>2028</v>
      </c>
      <c r="Q2" s="16">
        <v>2029</v>
      </c>
      <c r="R2" s="16">
        <v>2030</v>
      </c>
      <c r="S2" s="16">
        <v>2031</v>
      </c>
      <c r="T2" s="16">
        <v>2032</v>
      </c>
      <c r="U2" s="16">
        <v>2033</v>
      </c>
      <c r="V2" s="16">
        <v>2034</v>
      </c>
      <c r="W2" s="16">
        <v>2035</v>
      </c>
      <c r="X2" s="16">
        <v>2036</v>
      </c>
      <c r="Y2" s="16">
        <v>2037</v>
      </c>
      <c r="Z2" s="16">
        <v>2038</v>
      </c>
      <c r="AA2" s="16">
        <v>2039</v>
      </c>
      <c r="AB2" s="16">
        <v>2040</v>
      </c>
      <c r="AC2" s="16">
        <v>2041</v>
      </c>
      <c r="AD2" s="16">
        <v>2042</v>
      </c>
      <c r="AE2" s="16">
        <v>2043</v>
      </c>
      <c r="AF2" s="16">
        <v>2044</v>
      </c>
      <c r="AG2" s="16">
        <v>2045</v>
      </c>
      <c r="AH2" s="16">
        <v>2046</v>
      </c>
      <c r="AI2" s="16">
        <v>2047</v>
      </c>
      <c r="AJ2" s="95">
        <v>2048</v>
      </c>
    </row>
    <row r="3" spans="1:36" ht="15.75" thickBot="1" x14ac:dyDescent="0.3">
      <c r="A3" s="210"/>
      <c r="B3" s="164" t="s">
        <v>22</v>
      </c>
      <c r="C3" s="163" t="s">
        <v>47</v>
      </c>
      <c r="D3" s="184"/>
      <c r="E3" s="185" t="s">
        <v>17</v>
      </c>
      <c r="F3" s="178">
        <f>F4+F8</f>
        <v>794734</v>
      </c>
      <c r="G3" s="136">
        <f>G4+G8</f>
        <v>781191.5510405571</v>
      </c>
      <c r="H3" s="136">
        <f t="shared" ref="H3:AJ3" si="0">H4+H8</f>
        <v>777284.3828881114</v>
      </c>
      <c r="I3" s="136">
        <f t="shared" si="0"/>
        <v>774669.56803121185</v>
      </c>
      <c r="J3" s="136">
        <f t="shared" si="0"/>
        <v>772800.46794620529</v>
      </c>
      <c r="K3" s="136">
        <f t="shared" si="0"/>
        <v>771382.78488707938</v>
      </c>
      <c r="L3" s="136">
        <f t="shared" si="0"/>
        <v>803882.59430781822</v>
      </c>
      <c r="M3" s="136">
        <f t="shared" si="0"/>
        <v>795727.58255664213</v>
      </c>
      <c r="N3" s="136">
        <f t="shared" si="0"/>
        <v>787654.38899622846</v>
      </c>
      <c r="O3" s="136">
        <f t="shared" si="0"/>
        <v>779662.23722266336</v>
      </c>
      <c r="P3" s="136">
        <f t="shared" si="0"/>
        <v>771750.3580186218</v>
      </c>
      <c r="Q3" s="136">
        <f t="shared" si="0"/>
        <v>763917.98928740248</v>
      </c>
      <c r="R3" s="136">
        <f t="shared" si="0"/>
        <v>756164.3759875691</v>
      </c>
      <c r="S3" s="136">
        <f t="shared" si="0"/>
        <v>748799.78199787426</v>
      </c>
      <c r="T3" s="136">
        <f t="shared" si="0"/>
        <v>745905.94082979648</v>
      </c>
      <c r="U3" s="136">
        <f t="shared" si="0"/>
        <v>743030.80455213459</v>
      </c>
      <c r="V3" s="136">
        <f t="shared" si="0"/>
        <v>740174.18274092232</v>
      </c>
      <c r="W3" s="136">
        <f t="shared" si="0"/>
        <v>737335.88724310533</v>
      </c>
      <c r="X3" s="136">
        <f t="shared" si="0"/>
        <v>734515.73214978632</v>
      </c>
      <c r="Y3" s="136">
        <f t="shared" si="0"/>
        <v>731713.53376977076</v>
      </c>
      <c r="Z3" s="136">
        <f t="shared" si="0"/>
        <v>728929.11060341191</v>
      </c>
      <c r="AA3" s="136">
        <f t="shared" si="0"/>
        <v>726162.28331675055</v>
      </c>
      <c r="AB3" s="136">
        <f t="shared" si="0"/>
        <v>723412.87471594685</v>
      </c>
      <c r="AC3" s="136">
        <f t="shared" si="0"/>
        <v>721403.77044559165</v>
      </c>
      <c r="AD3" s="136">
        <f t="shared" si="0"/>
        <v>719417.14050440828</v>
      </c>
      <c r="AE3" s="136">
        <f t="shared" si="0"/>
        <v>717452.70093627099</v>
      </c>
      <c r="AF3" s="136">
        <f t="shared" si="0"/>
        <v>715510.17097735591</v>
      </c>
      <c r="AG3" s="136">
        <f t="shared" si="0"/>
        <v>713589.27302257344</v>
      </c>
      <c r="AH3" s="136">
        <f t="shared" si="0"/>
        <v>711689.73259234172</v>
      </c>
      <c r="AI3" s="136">
        <f t="shared" si="0"/>
        <v>709811.27829969965</v>
      </c>
      <c r="AJ3" s="177">
        <f t="shared" si="0"/>
        <v>705626.56428520498</v>
      </c>
    </row>
    <row r="4" spans="1:36" x14ac:dyDescent="0.25">
      <c r="A4" s="210"/>
      <c r="B4" s="105" t="s">
        <v>66</v>
      </c>
      <c r="C4" s="212" t="s">
        <v>44</v>
      </c>
      <c r="D4" s="187" t="s">
        <v>57</v>
      </c>
      <c r="E4" s="188" t="s">
        <v>17</v>
      </c>
      <c r="F4" s="189">
        <f>'[1]Water Balance m3year'!$AY$8</f>
        <v>280932</v>
      </c>
      <c r="G4" s="193">
        <f>G5</f>
        <v>281422.29469343019</v>
      </c>
      <c r="H4" s="193">
        <f t="shared" ref="H4:AJ4" si="1">H5</f>
        <v>282434.72415729653</v>
      </c>
      <c r="I4" s="194">
        <f t="shared" si="1"/>
        <v>284665.24530826544</v>
      </c>
      <c r="J4" s="194">
        <f t="shared" si="1"/>
        <v>287578.63653858239</v>
      </c>
      <c r="K4" s="194">
        <f t="shared" si="1"/>
        <v>290886.96536112588</v>
      </c>
      <c r="L4" s="193">
        <f t="shared" si="1"/>
        <v>353165.53670241538</v>
      </c>
      <c r="M4" s="195">
        <f t="shared" si="1"/>
        <v>349530.3703427221</v>
      </c>
      <c r="N4" s="193">
        <f t="shared" si="1"/>
        <v>345931.79447552195</v>
      </c>
      <c r="O4" s="195">
        <f t="shared" si="1"/>
        <v>342369.48041628429</v>
      </c>
      <c r="P4" s="193">
        <f t="shared" si="1"/>
        <v>338843.10225286812</v>
      </c>
      <c r="Q4" s="193">
        <f t="shared" si="1"/>
        <v>335352.3368230554</v>
      </c>
      <c r="R4" s="193">
        <f t="shared" si="1"/>
        <v>331896.86369226105</v>
      </c>
      <c r="S4" s="193">
        <f t="shared" si="1"/>
        <v>328753.44848695409</v>
      </c>
      <c r="T4" s="193">
        <f t="shared" si="1"/>
        <v>329558.88992832368</v>
      </c>
      <c r="U4" s="193">
        <f t="shared" si="1"/>
        <v>330347.15981815255</v>
      </c>
      <c r="V4" s="193">
        <f t="shared" si="1"/>
        <v>331118.4268650827</v>
      </c>
      <c r="W4" s="193">
        <f t="shared" si="1"/>
        <v>331872.85841734137</v>
      </c>
      <c r="X4" s="193">
        <f t="shared" si="1"/>
        <v>332610.62047274044</v>
      </c>
      <c r="Y4" s="193">
        <f t="shared" si="1"/>
        <v>333331.87768860639</v>
      </c>
      <c r="Z4" s="193">
        <f t="shared" si="1"/>
        <v>334036.79339164041</v>
      </c>
      <c r="AA4" s="193">
        <f t="shared" si="1"/>
        <v>334725.52958771074</v>
      </c>
      <c r="AB4" s="193">
        <f t="shared" si="1"/>
        <v>335398.24697157595</v>
      </c>
      <c r="AC4" s="193">
        <f t="shared" si="1"/>
        <v>336699.28630846756</v>
      </c>
      <c r="AD4" s="193">
        <f t="shared" si="1"/>
        <v>337989.43854357116</v>
      </c>
      <c r="AE4" s="193">
        <f t="shared" si="1"/>
        <v>339268.7597946524</v>
      </c>
      <c r="AF4" s="193">
        <f t="shared" si="1"/>
        <v>340537.30593255931</v>
      </c>
      <c r="AG4" s="193">
        <f t="shared" si="1"/>
        <v>341795.13258222578</v>
      </c>
      <c r="AH4" s="193">
        <f t="shared" si="1"/>
        <v>343042.29512367077</v>
      </c>
      <c r="AI4" s="193">
        <f t="shared" si="1"/>
        <v>344278.84869299387</v>
      </c>
      <c r="AJ4" s="196">
        <f t="shared" si="1"/>
        <v>343431.63365436601</v>
      </c>
    </row>
    <row r="5" spans="1:36" x14ac:dyDescent="0.25">
      <c r="A5" s="210"/>
      <c r="B5" s="106" t="s">
        <v>67</v>
      </c>
      <c r="C5" s="213"/>
      <c r="D5" s="100" t="s">
        <v>46</v>
      </c>
      <c r="E5" s="93" t="s">
        <v>17</v>
      </c>
      <c r="F5" s="179">
        <f>'[1]Water Balance m3year'!$T$8</f>
        <v>280932</v>
      </c>
      <c r="G5" s="91">
        <f>G6+G7</f>
        <v>281422.29469343019</v>
      </c>
      <c r="H5" s="91">
        <f t="shared" ref="H5:AJ5" si="2">H6+H7</f>
        <v>282434.72415729653</v>
      </c>
      <c r="I5" s="91">
        <f t="shared" si="2"/>
        <v>284665.24530826544</v>
      </c>
      <c r="J5" s="91">
        <f t="shared" si="2"/>
        <v>287578.63653858239</v>
      </c>
      <c r="K5" s="91">
        <f t="shared" si="2"/>
        <v>290886.96536112588</v>
      </c>
      <c r="L5" s="109">
        <f t="shared" si="2"/>
        <v>353165.53670241538</v>
      </c>
      <c r="M5" s="110">
        <f t="shared" si="2"/>
        <v>349530.3703427221</v>
      </c>
      <c r="N5" s="110">
        <f t="shared" si="2"/>
        <v>345931.79447552195</v>
      </c>
      <c r="O5" s="110">
        <f t="shared" si="2"/>
        <v>342369.48041628429</v>
      </c>
      <c r="P5" s="110">
        <f t="shared" si="2"/>
        <v>338843.10225286812</v>
      </c>
      <c r="Q5" s="110">
        <f t="shared" si="2"/>
        <v>335352.3368230554</v>
      </c>
      <c r="R5" s="110">
        <f t="shared" si="2"/>
        <v>331896.86369226105</v>
      </c>
      <c r="S5" s="110">
        <f t="shared" si="2"/>
        <v>328753.44848695409</v>
      </c>
      <c r="T5" s="110">
        <f t="shared" si="2"/>
        <v>329558.88992832368</v>
      </c>
      <c r="U5" s="110">
        <f t="shared" si="2"/>
        <v>330347.15981815255</v>
      </c>
      <c r="V5" s="110">
        <f t="shared" si="2"/>
        <v>331118.4268650827</v>
      </c>
      <c r="W5" s="110">
        <f t="shared" si="2"/>
        <v>331872.85841734137</v>
      </c>
      <c r="X5" s="110">
        <f t="shared" si="2"/>
        <v>332610.62047274044</v>
      </c>
      <c r="Y5" s="110">
        <f t="shared" si="2"/>
        <v>333331.87768860639</v>
      </c>
      <c r="Z5" s="110">
        <f t="shared" si="2"/>
        <v>334036.79339164041</v>
      </c>
      <c r="AA5" s="110">
        <f t="shared" si="2"/>
        <v>334725.52958771074</v>
      </c>
      <c r="AB5" s="110">
        <f t="shared" si="2"/>
        <v>335398.24697157595</v>
      </c>
      <c r="AC5" s="110">
        <f t="shared" si="2"/>
        <v>336699.28630846756</v>
      </c>
      <c r="AD5" s="110">
        <f t="shared" si="2"/>
        <v>337989.43854357116</v>
      </c>
      <c r="AE5" s="110">
        <f t="shared" si="2"/>
        <v>339268.7597946524</v>
      </c>
      <c r="AF5" s="110">
        <f t="shared" si="2"/>
        <v>340537.30593255931</v>
      </c>
      <c r="AG5" s="110">
        <f t="shared" si="2"/>
        <v>341795.13258222578</v>
      </c>
      <c r="AH5" s="110">
        <f t="shared" si="2"/>
        <v>343042.29512367077</v>
      </c>
      <c r="AI5" s="110">
        <f t="shared" si="2"/>
        <v>344278.84869299387</v>
      </c>
      <c r="AJ5" s="111">
        <f t="shared" si="2"/>
        <v>343431.63365436601</v>
      </c>
    </row>
    <row r="6" spans="1:36" x14ac:dyDescent="0.25">
      <c r="A6" s="210"/>
      <c r="B6" s="106" t="s">
        <v>68</v>
      </c>
      <c r="C6" s="213"/>
      <c r="D6" s="101" t="s">
        <v>45</v>
      </c>
      <c r="E6" s="26" t="s">
        <v>17</v>
      </c>
      <c r="F6" s="180">
        <f>'[1]Water Balance m3year'!$AC$4</f>
        <v>280932</v>
      </c>
      <c r="G6" s="3">
        <f>'Prognoza Apa'!E15</f>
        <v>281422.29469343019</v>
      </c>
      <c r="H6" s="3">
        <f>'Prognoza Apa'!F15</f>
        <v>282434.72415729653</v>
      </c>
      <c r="I6" s="3">
        <f>'Prognoza Apa'!G15</f>
        <v>284665.24530826544</v>
      </c>
      <c r="J6" s="3">
        <f>'Prognoza Apa'!H15</f>
        <v>287578.63653858239</v>
      </c>
      <c r="K6" s="3">
        <f>'Prognoza Apa'!I15</f>
        <v>290886.96536112588</v>
      </c>
      <c r="L6" s="112">
        <f>'Prognoza Apa'!J15</f>
        <v>353165.53670241538</v>
      </c>
      <c r="M6" s="113">
        <f>'Prognoza Apa'!K15</f>
        <v>349530.3703427221</v>
      </c>
      <c r="N6" s="112">
        <f>'Prognoza Apa'!L15</f>
        <v>345931.79447552195</v>
      </c>
      <c r="O6" s="112">
        <f>'Prognoza Apa'!M15</f>
        <v>342369.48041628429</v>
      </c>
      <c r="P6" s="112">
        <f>'Prognoza Apa'!N15</f>
        <v>338843.10225286812</v>
      </c>
      <c r="Q6" s="112">
        <f>'Prognoza Apa'!O15</f>
        <v>335352.3368230554</v>
      </c>
      <c r="R6" s="112">
        <f>'Prognoza Apa'!P15</f>
        <v>331896.86369226105</v>
      </c>
      <c r="S6" s="112">
        <f>'Prognoza Apa'!Q15</f>
        <v>328753.44848695409</v>
      </c>
      <c r="T6" s="113">
        <f>'Prognoza Apa'!R15</f>
        <v>329558.88992832368</v>
      </c>
      <c r="U6" s="112">
        <f>'Prognoza Apa'!S15</f>
        <v>330347.15981815255</v>
      </c>
      <c r="V6" s="112">
        <f>'Prognoza Apa'!T15</f>
        <v>331118.4268650827</v>
      </c>
      <c r="W6" s="112">
        <f>'Prognoza Apa'!U15</f>
        <v>331872.85841734137</v>
      </c>
      <c r="X6" s="112">
        <f>'Prognoza Apa'!V15</f>
        <v>332610.62047274044</v>
      </c>
      <c r="Y6" s="112">
        <f>'Prognoza Apa'!W15</f>
        <v>333331.87768860639</v>
      </c>
      <c r="Z6" s="112">
        <f>'Prognoza Apa'!X15</f>
        <v>334036.79339164041</v>
      </c>
      <c r="AA6" s="112">
        <f>'Prognoza Apa'!Y15</f>
        <v>334725.52958771074</v>
      </c>
      <c r="AB6" s="112">
        <f>'Prognoza Apa'!Z15</f>
        <v>335398.24697157595</v>
      </c>
      <c r="AC6" s="112">
        <f>'Prognoza Apa'!AA15</f>
        <v>336699.28630846756</v>
      </c>
      <c r="AD6" s="112">
        <f>'Prognoza Apa'!AB15</f>
        <v>337989.43854357116</v>
      </c>
      <c r="AE6" s="112">
        <f>'Prognoza Apa'!AC15</f>
        <v>339268.7597946524</v>
      </c>
      <c r="AF6" s="112">
        <f>'Prognoza Apa'!AD15</f>
        <v>340537.30593255931</v>
      </c>
      <c r="AG6" s="112">
        <f>'Prognoza Apa'!AE15</f>
        <v>341795.13258222578</v>
      </c>
      <c r="AH6" s="112">
        <f>'Prognoza Apa'!AF15</f>
        <v>343042.29512367077</v>
      </c>
      <c r="AI6" s="112">
        <f>'Prognoza Apa'!AG15</f>
        <v>344278.84869299387</v>
      </c>
      <c r="AJ6" s="114">
        <f>'Prognoza Apa'!AH15</f>
        <v>343431.63365436601</v>
      </c>
    </row>
    <row r="7" spans="1:36" ht="15.75" thickBot="1" x14ac:dyDescent="0.3">
      <c r="A7" s="210"/>
      <c r="B7" s="106" t="s">
        <v>69</v>
      </c>
      <c r="C7" s="213"/>
      <c r="D7" s="101" t="s">
        <v>51</v>
      </c>
      <c r="E7" s="26" t="s">
        <v>17</v>
      </c>
      <c r="F7" s="180">
        <f>'[1]Water Balance m3year'!$AC$9</f>
        <v>0</v>
      </c>
      <c r="G7" s="97">
        <v>0</v>
      </c>
      <c r="H7" s="97">
        <f t="shared" ref="H7:AJ7" si="3">G7</f>
        <v>0</v>
      </c>
      <c r="I7" s="97">
        <f t="shared" si="3"/>
        <v>0</v>
      </c>
      <c r="J7" s="97">
        <f t="shared" si="3"/>
        <v>0</v>
      </c>
      <c r="K7" s="97">
        <f t="shared" si="3"/>
        <v>0</v>
      </c>
      <c r="L7" s="115">
        <f t="shared" si="3"/>
        <v>0</v>
      </c>
      <c r="M7" s="116">
        <f t="shared" si="3"/>
        <v>0</v>
      </c>
      <c r="N7" s="116">
        <f t="shared" si="3"/>
        <v>0</v>
      </c>
      <c r="O7" s="116">
        <f t="shared" si="3"/>
        <v>0</v>
      </c>
      <c r="P7" s="116">
        <f t="shared" si="3"/>
        <v>0</v>
      </c>
      <c r="Q7" s="116">
        <f t="shared" si="3"/>
        <v>0</v>
      </c>
      <c r="R7" s="116">
        <f t="shared" si="3"/>
        <v>0</v>
      </c>
      <c r="S7" s="116">
        <f t="shared" si="3"/>
        <v>0</v>
      </c>
      <c r="T7" s="116">
        <f t="shared" si="3"/>
        <v>0</v>
      </c>
      <c r="U7" s="116">
        <f t="shared" si="3"/>
        <v>0</v>
      </c>
      <c r="V7" s="116">
        <f t="shared" si="3"/>
        <v>0</v>
      </c>
      <c r="W7" s="116">
        <f t="shared" si="3"/>
        <v>0</v>
      </c>
      <c r="X7" s="116">
        <f t="shared" si="3"/>
        <v>0</v>
      </c>
      <c r="Y7" s="116">
        <f t="shared" si="3"/>
        <v>0</v>
      </c>
      <c r="Z7" s="116">
        <f t="shared" si="3"/>
        <v>0</v>
      </c>
      <c r="AA7" s="116">
        <f t="shared" si="3"/>
        <v>0</v>
      </c>
      <c r="AB7" s="116">
        <f t="shared" si="3"/>
        <v>0</v>
      </c>
      <c r="AC7" s="116">
        <f t="shared" si="3"/>
        <v>0</v>
      </c>
      <c r="AD7" s="116">
        <f t="shared" si="3"/>
        <v>0</v>
      </c>
      <c r="AE7" s="116">
        <f t="shared" si="3"/>
        <v>0</v>
      </c>
      <c r="AF7" s="116">
        <f t="shared" si="3"/>
        <v>0</v>
      </c>
      <c r="AG7" s="116">
        <f t="shared" si="3"/>
        <v>0</v>
      </c>
      <c r="AH7" s="116">
        <f t="shared" si="3"/>
        <v>0</v>
      </c>
      <c r="AI7" s="116">
        <f t="shared" si="3"/>
        <v>0</v>
      </c>
      <c r="AJ7" s="117">
        <f t="shared" si="3"/>
        <v>0</v>
      </c>
    </row>
    <row r="8" spans="1:36" x14ac:dyDescent="0.25">
      <c r="A8" s="210"/>
      <c r="B8" s="107" t="s">
        <v>1</v>
      </c>
      <c r="C8" s="213"/>
      <c r="D8" s="187" t="s">
        <v>58</v>
      </c>
      <c r="E8" s="188" t="s">
        <v>17</v>
      </c>
      <c r="F8" s="189">
        <f>'[1]Water Balance m3year'!$AY$24</f>
        <v>513802</v>
      </c>
      <c r="G8" s="190">
        <f>G12+G15+G9</f>
        <v>499769.25634712691</v>
      </c>
      <c r="H8" s="190">
        <f t="shared" ref="H8:AJ8" si="4">H12+H15+H9</f>
        <v>494849.65873081487</v>
      </c>
      <c r="I8" s="190">
        <f t="shared" si="4"/>
        <v>490004.32272294635</v>
      </c>
      <c r="J8" s="190">
        <f t="shared" si="4"/>
        <v>485221.83140762296</v>
      </c>
      <c r="K8" s="190">
        <f t="shared" si="4"/>
        <v>480495.81952595344</v>
      </c>
      <c r="L8" s="191">
        <f t="shared" si="4"/>
        <v>450717.05760540284</v>
      </c>
      <c r="M8" s="191">
        <f t="shared" si="4"/>
        <v>446197.21221391996</v>
      </c>
      <c r="N8" s="191">
        <f t="shared" si="4"/>
        <v>441722.59452070651</v>
      </c>
      <c r="O8" s="191">
        <f t="shared" si="4"/>
        <v>437292.75680637913</v>
      </c>
      <c r="P8" s="191">
        <f t="shared" si="4"/>
        <v>432907.25576575368</v>
      </c>
      <c r="Q8" s="191">
        <f t="shared" si="4"/>
        <v>428565.65246434708</v>
      </c>
      <c r="R8" s="191">
        <f t="shared" si="4"/>
        <v>424267.512295308</v>
      </c>
      <c r="S8" s="191">
        <f t="shared" si="4"/>
        <v>420046.33351092017</v>
      </c>
      <c r="T8" s="191">
        <f t="shared" si="4"/>
        <v>416347.05090147286</v>
      </c>
      <c r="U8" s="191">
        <f t="shared" si="4"/>
        <v>412683.6447339821</v>
      </c>
      <c r="V8" s="191">
        <f t="shared" si="4"/>
        <v>409055.75587583962</v>
      </c>
      <c r="W8" s="191">
        <f t="shared" si="4"/>
        <v>405463.02882576396</v>
      </c>
      <c r="X8" s="191">
        <f t="shared" si="4"/>
        <v>401905.11167704588</v>
      </c>
      <c r="Y8" s="191">
        <f t="shared" si="4"/>
        <v>398381.65608116431</v>
      </c>
      <c r="Z8" s="191">
        <f t="shared" si="4"/>
        <v>394892.3172117715</v>
      </c>
      <c r="AA8" s="191">
        <f t="shared" si="4"/>
        <v>391436.75372903986</v>
      </c>
      <c r="AB8" s="191">
        <f t="shared" si="4"/>
        <v>388014.62774437096</v>
      </c>
      <c r="AC8" s="191">
        <f t="shared" si="4"/>
        <v>384704.48413712409</v>
      </c>
      <c r="AD8" s="191">
        <f t="shared" si="4"/>
        <v>381427.70196083712</v>
      </c>
      <c r="AE8" s="191">
        <f t="shared" si="4"/>
        <v>378183.94114161859</v>
      </c>
      <c r="AF8" s="191">
        <f t="shared" si="4"/>
        <v>374972.86504479666</v>
      </c>
      <c r="AG8" s="191">
        <f t="shared" si="4"/>
        <v>371794.14044034772</v>
      </c>
      <c r="AH8" s="191">
        <f t="shared" si="4"/>
        <v>368647.43746867089</v>
      </c>
      <c r="AI8" s="191">
        <f t="shared" si="4"/>
        <v>365532.42960670579</v>
      </c>
      <c r="AJ8" s="192">
        <f t="shared" si="4"/>
        <v>362194.93063083891</v>
      </c>
    </row>
    <row r="9" spans="1:36" x14ac:dyDescent="0.25">
      <c r="A9" s="210"/>
      <c r="B9" s="106" t="s">
        <v>70</v>
      </c>
      <c r="C9" s="213"/>
      <c r="D9" s="103" t="s">
        <v>48</v>
      </c>
      <c r="E9" s="93" t="s">
        <v>18</v>
      </c>
      <c r="F9" s="182">
        <f>'[1]Water Balance m3year'!$T$16</f>
        <v>0</v>
      </c>
      <c r="G9" s="91">
        <f>G10+G11</f>
        <v>0</v>
      </c>
      <c r="H9" s="91">
        <f t="shared" ref="H9:AJ9" si="5">H10+H11</f>
        <v>0</v>
      </c>
      <c r="I9" s="91">
        <f t="shared" si="5"/>
        <v>0</v>
      </c>
      <c r="J9" s="91">
        <f t="shared" si="5"/>
        <v>0</v>
      </c>
      <c r="K9" s="91">
        <f t="shared" si="5"/>
        <v>0</v>
      </c>
      <c r="L9" s="109">
        <f t="shared" si="5"/>
        <v>73080.235846165291</v>
      </c>
      <c r="M9" s="110">
        <f t="shared" si="5"/>
        <v>72338.871141512922</v>
      </c>
      <c r="N9" s="110">
        <f t="shared" si="5"/>
        <v>71604.944454202589</v>
      </c>
      <c r="O9" s="110">
        <f t="shared" si="5"/>
        <v>70878.385202060323</v>
      </c>
      <c r="P9" s="110">
        <f t="shared" si="5"/>
        <v>70159.123456238347</v>
      </c>
      <c r="Q9" s="110">
        <f t="shared" si="5"/>
        <v>69447.089935218406</v>
      </c>
      <c r="R9" s="110">
        <f t="shared" si="5"/>
        <v>68742.215998869913</v>
      </c>
      <c r="S9" s="110">
        <f t="shared" si="5"/>
        <v>68072.707454352203</v>
      </c>
      <c r="T9" s="110">
        <f t="shared" si="5"/>
        <v>67809.630984526957</v>
      </c>
      <c r="U9" s="110">
        <f t="shared" si="5"/>
        <v>67548.254959284968</v>
      </c>
      <c r="V9" s="110">
        <f t="shared" si="5"/>
        <v>67288.562067356572</v>
      </c>
      <c r="W9" s="110">
        <f t="shared" si="5"/>
        <v>67030.535203918684</v>
      </c>
      <c r="X9" s="110">
        <f t="shared" si="5"/>
        <v>66774.157468162404</v>
      </c>
      <c r="Y9" s="110">
        <f t="shared" si="5"/>
        <v>66519.412160888241</v>
      </c>
      <c r="Z9" s="110">
        <f t="shared" si="5"/>
        <v>66266.282782128357</v>
      </c>
      <c r="AA9" s="110">
        <f t="shared" si="5"/>
        <v>66014.753028795516</v>
      </c>
      <c r="AB9" s="110">
        <f t="shared" si="5"/>
        <v>65764.80679235881</v>
      </c>
      <c r="AC9" s="110">
        <f t="shared" si="5"/>
        <v>65582.160949599245</v>
      </c>
      <c r="AD9" s="110">
        <f t="shared" si="5"/>
        <v>65401.558227673493</v>
      </c>
      <c r="AE9" s="110">
        <f t="shared" si="5"/>
        <v>65222.972812388267</v>
      </c>
      <c r="AF9" s="110">
        <f t="shared" si="5"/>
        <v>65046.379179759642</v>
      </c>
      <c r="AG9" s="110">
        <f t="shared" si="5"/>
        <v>64871.752092961236</v>
      </c>
      <c r="AH9" s="110">
        <f t="shared" si="5"/>
        <v>64699.066599303776</v>
      </c>
      <c r="AI9" s="110">
        <f t="shared" si="5"/>
        <v>64528.298027245415</v>
      </c>
      <c r="AJ9" s="186">
        <f t="shared" si="5"/>
        <v>64147.869480473179</v>
      </c>
    </row>
    <row r="10" spans="1:36" x14ac:dyDescent="0.25">
      <c r="A10" s="210"/>
      <c r="B10" s="106" t="s">
        <v>71</v>
      </c>
      <c r="C10" s="213"/>
      <c r="D10" s="101" t="s">
        <v>49</v>
      </c>
      <c r="E10" s="26" t="s">
        <v>18</v>
      </c>
      <c r="F10" s="180">
        <f>'[1]Water Balance m3year'!$AC$14</f>
        <v>0</v>
      </c>
      <c r="G10" s="69">
        <f>F10</f>
        <v>0</v>
      </c>
      <c r="H10" s="69">
        <f t="shared" ref="H10:AJ10" si="6">G10</f>
        <v>0</v>
      </c>
      <c r="I10" s="69">
        <f t="shared" si="6"/>
        <v>0</v>
      </c>
      <c r="J10" s="69">
        <f t="shared" si="6"/>
        <v>0</v>
      </c>
      <c r="K10" s="69">
        <f t="shared" si="6"/>
        <v>0</v>
      </c>
      <c r="L10" s="118">
        <f t="shared" si="6"/>
        <v>0</v>
      </c>
      <c r="M10" s="119">
        <f t="shared" si="6"/>
        <v>0</v>
      </c>
      <c r="N10" s="119">
        <f t="shared" si="6"/>
        <v>0</v>
      </c>
      <c r="O10" s="119">
        <f t="shared" si="6"/>
        <v>0</v>
      </c>
      <c r="P10" s="119">
        <f t="shared" si="6"/>
        <v>0</v>
      </c>
      <c r="Q10" s="119">
        <f t="shared" si="6"/>
        <v>0</v>
      </c>
      <c r="R10" s="119">
        <f t="shared" si="6"/>
        <v>0</v>
      </c>
      <c r="S10" s="119">
        <f t="shared" si="6"/>
        <v>0</v>
      </c>
      <c r="T10" s="119">
        <f t="shared" si="6"/>
        <v>0</v>
      </c>
      <c r="U10" s="119">
        <f t="shared" si="6"/>
        <v>0</v>
      </c>
      <c r="V10" s="119">
        <f t="shared" si="6"/>
        <v>0</v>
      </c>
      <c r="W10" s="119">
        <f t="shared" si="6"/>
        <v>0</v>
      </c>
      <c r="X10" s="119">
        <f t="shared" si="6"/>
        <v>0</v>
      </c>
      <c r="Y10" s="119">
        <f t="shared" si="6"/>
        <v>0</v>
      </c>
      <c r="Z10" s="119">
        <f t="shared" si="6"/>
        <v>0</v>
      </c>
      <c r="AA10" s="119">
        <f t="shared" si="6"/>
        <v>0</v>
      </c>
      <c r="AB10" s="119">
        <f t="shared" si="6"/>
        <v>0</v>
      </c>
      <c r="AC10" s="119">
        <f t="shared" si="6"/>
        <v>0</v>
      </c>
      <c r="AD10" s="119">
        <f t="shared" si="6"/>
        <v>0</v>
      </c>
      <c r="AE10" s="119">
        <f t="shared" si="6"/>
        <v>0</v>
      </c>
      <c r="AF10" s="119">
        <f t="shared" si="6"/>
        <v>0</v>
      </c>
      <c r="AG10" s="119">
        <f t="shared" si="6"/>
        <v>0</v>
      </c>
      <c r="AH10" s="119">
        <f t="shared" si="6"/>
        <v>0</v>
      </c>
      <c r="AI10" s="119">
        <f t="shared" si="6"/>
        <v>0</v>
      </c>
      <c r="AJ10" s="120">
        <f t="shared" si="6"/>
        <v>0</v>
      </c>
    </row>
    <row r="11" spans="1:36" ht="15.75" thickBot="1" x14ac:dyDescent="0.3">
      <c r="A11" s="210"/>
      <c r="B11" s="108" t="s">
        <v>72</v>
      </c>
      <c r="C11" s="214"/>
      <c r="D11" s="102" t="s">
        <v>50</v>
      </c>
      <c r="E11" s="25" t="s">
        <v>18</v>
      </c>
      <c r="F11" s="181">
        <f>'[1]Water Balance m3year'!$AC$19</f>
        <v>0</v>
      </c>
      <c r="G11" s="92">
        <f>F11/F15*G15</f>
        <v>0</v>
      </c>
      <c r="H11" s="92">
        <f t="shared" ref="H11:K11" si="7">G11/G15*H15</f>
        <v>0</v>
      </c>
      <c r="I11" s="92">
        <f t="shared" si="7"/>
        <v>0</v>
      </c>
      <c r="J11" s="92">
        <f t="shared" si="7"/>
        <v>0</v>
      </c>
      <c r="K11" s="92">
        <f t="shared" si="7"/>
        <v>0</v>
      </c>
      <c r="L11" s="121">
        <f>0.1*(L5+L15+L12)</f>
        <v>73080.235846165291</v>
      </c>
      <c r="M11" s="122">
        <f t="shared" ref="M11:AJ11" si="8">0.1*(M5+M15+M12)</f>
        <v>72338.871141512922</v>
      </c>
      <c r="N11" s="122">
        <f t="shared" si="8"/>
        <v>71604.944454202589</v>
      </c>
      <c r="O11" s="122">
        <f t="shared" si="8"/>
        <v>70878.385202060323</v>
      </c>
      <c r="P11" s="122">
        <f t="shared" si="8"/>
        <v>70159.123456238347</v>
      </c>
      <c r="Q11" s="122">
        <f t="shared" si="8"/>
        <v>69447.089935218406</v>
      </c>
      <c r="R11" s="122">
        <f t="shared" si="8"/>
        <v>68742.215998869913</v>
      </c>
      <c r="S11" s="122">
        <f t="shared" si="8"/>
        <v>68072.707454352203</v>
      </c>
      <c r="T11" s="122">
        <f t="shared" si="8"/>
        <v>67809.630984526957</v>
      </c>
      <c r="U11" s="122">
        <f t="shared" si="8"/>
        <v>67548.254959284968</v>
      </c>
      <c r="V11" s="122">
        <f t="shared" si="8"/>
        <v>67288.562067356572</v>
      </c>
      <c r="W11" s="122">
        <f t="shared" si="8"/>
        <v>67030.535203918684</v>
      </c>
      <c r="X11" s="122">
        <f t="shared" si="8"/>
        <v>66774.157468162404</v>
      </c>
      <c r="Y11" s="122">
        <f t="shared" si="8"/>
        <v>66519.412160888241</v>
      </c>
      <c r="Z11" s="122">
        <f t="shared" si="8"/>
        <v>66266.282782128357</v>
      </c>
      <c r="AA11" s="122">
        <f t="shared" si="8"/>
        <v>66014.753028795516</v>
      </c>
      <c r="AB11" s="122">
        <f t="shared" si="8"/>
        <v>65764.80679235881</v>
      </c>
      <c r="AC11" s="122">
        <f t="shared" si="8"/>
        <v>65582.160949599245</v>
      </c>
      <c r="AD11" s="122">
        <f t="shared" si="8"/>
        <v>65401.558227673493</v>
      </c>
      <c r="AE11" s="122">
        <f t="shared" si="8"/>
        <v>65222.972812388267</v>
      </c>
      <c r="AF11" s="122">
        <f t="shared" si="8"/>
        <v>65046.379179759642</v>
      </c>
      <c r="AG11" s="122">
        <f t="shared" si="8"/>
        <v>64871.752092961236</v>
      </c>
      <c r="AH11" s="122">
        <f t="shared" si="8"/>
        <v>64699.066599303776</v>
      </c>
      <c r="AI11" s="122">
        <f t="shared" si="8"/>
        <v>64528.298027245415</v>
      </c>
      <c r="AJ11" s="123">
        <f t="shared" si="8"/>
        <v>64147.869480473179</v>
      </c>
    </row>
    <row r="12" spans="1:36" x14ac:dyDescent="0.25">
      <c r="A12" s="210"/>
      <c r="B12" s="106" t="s">
        <v>73</v>
      </c>
      <c r="C12" s="212" t="s">
        <v>65</v>
      </c>
      <c r="D12" s="103" t="s">
        <v>52</v>
      </c>
      <c r="E12" s="93" t="s">
        <v>18</v>
      </c>
      <c r="F12" s="182">
        <f>'[1]Water Balance m3year'!$T$26</f>
        <v>14785.894736842136</v>
      </c>
      <c r="G12" s="96">
        <f>G13+G14</f>
        <v>5743.3121366006162</v>
      </c>
      <c r="H12" s="96">
        <f t="shared" ref="H12:AJ12" si="9">H13+H14</f>
        <v>5763.9739623938067</v>
      </c>
      <c r="I12" s="96">
        <f t="shared" si="9"/>
        <v>5809.4948022094986</v>
      </c>
      <c r="J12" s="96">
        <f t="shared" si="9"/>
        <v>5868.951766093518</v>
      </c>
      <c r="K12" s="96">
        <f t="shared" si="9"/>
        <v>5936.4686808393035</v>
      </c>
      <c r="L12" s="124">
        <f t="shared" si="9"/>
        <v>7207.4599327023552</v>
      </c>
      <c r="M12" s="124">
        <f t="shared" si="9"/>
        <v>7133.2728641371859</v>
      </c>
      <c r="N12" s="124">
        <f t="shared" si="9"/>
        <v>7059.8325403167755</v>
      </c>
      <c r="O12" s="124">
        <f t="shared" si="9"/>
        <v>6987.1322533935581</v>
      </c>
      <c r="P12" s="124">
        <f t="shared" si="9"/>
        <v>6915.1653520993495</v>
      </c>
      <c r="Q12" s="124">
        <f t="shared" si="9"/>
        <v>6843.9252412868454</v>
      </c>
      <c r="R12" s="124">
        <f t="shared" si="9"/>
        <v>6773.4053814747149</v>
      </c>
      <c r="S12" s="124">
        <f t="shared" si="9"/>
        <v>6709.2540507541653</v>
      </c>
      <c r="T12" s="124">
        <f t="shared" si="9"/>
        <v>6725.6916311902796</v>
      </c>
      <c r="U12" s="124">
        <f t="shared" si="9"/>
        <v>6741.7787717990323</v>
      </c>
      <c r="V12" s="124">
        <f t="shared" si="9"/>
        <v>6757.5189156139331</v>
      </c>
      <c r="W12" s="124">
        <f t="shared" si="9"/>
        <v>6772.9154779049268</v>
      </c>
      <c r="X12" s="124">
        <f t="shared" si="9"/>
        <v>6787.9718463824584</v>
      </c>
      <c r="Y12" s="124">
        <f t="shared" si="9"/>
        <v>6802.6913814001309</v>
      </c>
      <c r="Z12" s="124">
        <f t="shared" si="9"/>
        <v>6817.0774161559275</v>
      </c>
      <c r="AA12" s="124">
        <f t="shared" si="9"/>
        <v>6831.1332568920552</v>
      </c>
      <c r="AB12" s="124">
        <f t="shared" si="9"/>
        <v>6844.8621830933871</v>
      </c>
      <c r="AC12" s="124">
        <f t="shared" si="9"/>
        <v>6871.4140062952565</v>
      </c>
      <c r="AD12" s="124">
        <f t="shared" si="9"/>
        <v>6897.7436437463502</v>
      </c>
      <c r="AE12" s="124">
        <f t="shared" si="9"/>
        <v>6923.8522407071923</v>
      </c>
      <c r="AF12" s="124">
        <f t="shared" si="9"/>
        <v>6949.7409373991695</v>
      </c>
      <c r="AG12" s="124">
        <f t="shared" si="9"/>
        <v>6975.4108690250168</v>
      </c>
      <c r="AH12" s="124">
        <f t="shared" si="9"/>
        <v>7000.8631657892001</v>
      </c>
      <c r="AI12" s="124">
        <f t="shared" si="9"/>
        <v>7026.0989529182425</v>
      </c>
      <c r="AJ12" s="125">
        <f t="shared" si="9"/>
        <v>7008.8088500891026</v>
      </c>
    </row>
    <row r="13" spans="1:36" x14ac:dyDescent="0.25">
      <c r="A13" s="210"/>
      <c r="B13" s="106" t="s">
        <v>74</v>
      </c>
      <c r="C13" s="213"/>
      <c r="D13" s="101" t="s">
        <v>53</v>
      </c>
      <c r="E13" s="26" t="s">
        <v>18</v>
      </c>
      <c r="F13" s="180">
        <f>'[1]Water Balance m3year'!$AC$24</f>
        <v>0</v>
      </c>
      <c r="G13" s="2">
        <f>F13</f>
        <v>0</v>
      </c>
      <c r="H13" s="2">
        <f t="shared" ref="H13:AJ13" si="10">G13</f>
        <v>0</v>
      </c>
      <c r="I13" s="2">
        <f t="shared" si="10"/>
        <v>0</v>
      </c>
      <c r="J13" s="2">
        <f t="shared" si="10"/>
        <v>0</v>
      </c>
      <c r="K13" s="2">
        <f t="shared" si="10"/>
        <v>0</v>
      </c>
      <c r="L13" s="51">
        <f t="shared" si="10"/>
        <v>0</v>
      </c>
      <c r="M13" s="51">
        <f t="shared" si="10"/>
        <v>0</v>
      </c>
      <c r="N13" s="51">
        <f t="shared" si="10"/>
        <v>0</v>
      </c>
      <c r="O13" s="51">
        <f t="shared" si="10"/>
        <v>0</v>
      </c>
      <c r="P13" s="51">
        <f t="shared" si="10"/>
        <v>0</v>
      </c>
      <c r="Q13" s="51">
        <f t="shared" si="10"/>
        <v>0</v>
      </c>
      <c r="R13" s="51">
        <f t="shared" si="10"/>
        <v>0</v>
      </c>
      <c r="S13" s="51">
        <f t="shared" si="10"/>
        <v>0</v>
      </c>
      <c r="T13" s="51">
        <f t="shared" si="10"/>
        <v>0</v>
      </c>
      <c r="U13" s="51">
        <f t="shared" si="10"/>
        <v>0</v>
      </c>
      <c r="V13" s="51">
        <f t="shared" si="10"/>
        <v>0</v>
      </c>
      <c r="W13" s="51">
        <f t="shared" si="10"/>
        <v>0</v>
      </c>
      <c r="X13" s="51">
        <f t="shared" si="10"/>
        <v>0</v>
      </c>
      <c r="Y13" s="51">
        <f t="shared" si="10"/>
        <v>0</v>
      </c>
      <c r="Z13" s="51">
        <f t="shared" si="10"/>
        <v>0</v>
      </c>
      <c r="AA13" s="51">
        <f t="shared" si="10"/>
        <v>0</v>
      </c>
      <c r="AB13" s="51">
        <f t="shared" si="10"/>
        <v>0</v>
      </c>
      <c r="AC13" s="51">
        <f t="shared" si="10"/>
        <v>0</v>
      </c>
      <c r="AD13" s="51">
        <f t="shared" si="10"/>
        <v>0</v>
      </c>
      <c r="AE13" s="51">
        <f t="shared" si="10"/>
        <v>0</v>
      </c>
      <c r="AF13" s="51">
        <f t="shared" si="10"/>
        <v>0</v>
      </c>
      <c r="AG13" s="51">
        <f t="shared" si="10"/>
        <v>0</v>
      </c>
      <c r="AH13" s="51">
        <f t="shared" si="10"/>
        <v>0</v>
      </c>
      <c r="AI13" s="51">
        <f t="shared" si="10"/>
        <v>0</v>
      </c>
      <c r="AJ13" s="126">
        <f t="shared" si="10"/>
        <v>0</v>
      </c>
    </row>
    <row r="14" spans="1:36" x14ac:dyDescent="0.25">
      <c r="A14" s="210"/>
      <c r="B14" s="106" t="s">
        <v>75</v>
      </c>
      <c r="C14" s="213"/>
      <c r="D14" s="101" t="s">
        <v>54</v>
      </c>
      <c r="E14" s="26" t="s">
        <v>18</v>
      </c>
      <c r="F14" s="180">
        <f>'[1]Water Balance m3year'!$AC$29</f>
        <v>14785.894736842136</v>
      </c>
      <c r="G14" s="96">
        <f t="shared" ref="G14:AJ14" si="11">G6/(1-G17)*G17</f>
        <v>5743.3121366006162</v>
      </c>
      <c r="H14" s="51">
        <f t="shared" si="11"/>
        <v>5763.9739623938067</v>
      </c>
      <c r="I14" s="51">
        <f t="shared" si="11"/>
        <v>5809.4948022094986</v>
      </c>
      <c r="J14" s="51">
        <f t="shared" si="11"/>
        <v>5868.951766093518</v>
      </c>
      <c r="K14" s="51">
        <f t="shared" si="11"/>
        <v>5936.4686808393035</v>
      </c>
      <c r="L14" s="127">
        <f t="shared" si="11"/>
        <v>7207.4599327023552</v>
      </c>
      <c r="M14" s="89">
        <f t="shared" si="11"/>
        <v>7133.2728641371859</v>
      </c>
      <c r="N14" s="51">
        <f t="shared" si="11"/>
        <v>7059.8325403167755</v>
      </c>
      <c r="O14" s="51">
        <f t="shared" si="11"/>
        <v>6987.1322533935581</v>
      </c>
      <c r="P14" s="51">
        <f t="shared" si="11"/>
        <v>6915.1653520993495</v>
      </c>
      <c r="Q14" s="51">
        <f t="shared" si="11"/>
        <v>6843.9252412868454</v>
      </c>
      <c r="R14" s="51">
        <f t="shared" si="11"/>
        <v>6773.4053814747149</v>
      </c>
      <c r="S14" s="51">
        <f t="shared" si="11"/>
        <v>6709.2540507541653</v>
      </c>
      <c r="T14" s="51">
        <f t="shared" si="11"/>
        <v>6725.6916311902796</v>
      </c>
      <c r="U14" s="51">
        <f t="shared" si="11"/>
        <v>6741.7787717990323</v>
      </c>
      <c r="V14" s="51">
        <f t="shared" si="11"/>
        <v>6757.5189156139331</v>
      </c>
      <c r="W14" s="51">
        <f t="shared" si="11"/>
        <v>6772.9154779049268</v>
      </c>
      <c r="X14" s="51">
        <f t="shared" si="11"/>
        <v>6787.9718463824584</v>
      </c>
      <c r="Y14" s="51">
        <f t="shared" si="11"/>
        <v>6802.6913814001309</v>
      </c>
      <c r="Z14" s="51">
        <f t="shared" si="11"/>
        <v>6817.0774161559275</v>
      </c>
      <c r="AA14" s="51">
        <f t="shared" si="11"/>
        <v>6831.1332568920552</v>
      </c>
      <c r="AB14" s="51">
        <f t="shared" si="11"/>
        <v>6844.8621830933871</v>
      </c>
      <c r="AC14" s="51">
        <f t="shared" si="11"/>
        <v>6871.4140062952565</v>
      </c>
      <c r="AD14" s="51">
        <f t="shared" si="11"/>
        <v>6897.7436437463502</v>
      </c>
      <c r="AE14" s="51">
        <f t="shared" si="11"/>
        <v>6923.8522407071923</v>
      </c>
      <c r="AF14" s="51">
        <f t="shared" si="11"/>
        <v>6949.7409373991695</v>
      </c>
      <c r="AG14" s="51">
        <f t="shared" si="11"/>
        <v>6975.4108690250168</v>
      </c>
      <c r="AH14" s="51">
        <f t="shared" si="11"/>
        <v>7000.8631657892001</v>
      </c>
      <c r="AI14" s="51">
        <f t="shared" si="11"/>
        <v>7026.0989529182425</v>
      </c>
      <c r="AJ14" s="126">
        <f t="shared" si="11"/>
        <v>7008.8088500891026</v>
      </c>
    </row>
    <row r="15" spans="1:36" ht="15.75" thickBot="1" x14ac:dyDescent="0.3">
      <c r="A15" s="211"/>
      <c r="B15" s="108" t="s">
        <v>0</v>
      </c>
      <c r="C15" s="214"/>
      <c r="D15" s="104" t="s">
        <v>55</v>
      </c>
      <c r="E15" s="25" t="s">
        <v>18</v>
      </c>
      <c r="F15" s="183">
        <f>'[1]Water Balance m3year'!$T$34</f>
        <v>499016.10526315786</v>
      </c>
      <c r="G15" s="47">
        <f>F15*0.99</f>
        <v>494025.9442105263</v>
      </c>
      <c r="H15" s="47">
        <f t="shared" ref="H15:K15" si="12">G15*0.99</f>
        <v>489085.68476842105</v>
      </c>
      <c r="I15" s="47">
        <f t="shared" si="12"/>
        <v>484194.82792073686</v>
      </c>
      <c r="J15" s="47">
        <f t="shared" si="12"/>
        <v>479352.87964152946</v>
      </c>
      <c r="K15" s="47">
        <f t="shared" si="12"/>
        <v>474559.35084511415</v>
      </c>
      <c r="L15" s="128">
        <f>K15+(IP!L10-IP!F10)*365-(5.632)*1.5*IP!F9*365</f>
        <v>370429.3618265352</v>
      </c>
      <c r="M15" s="90">
        <f t="shared" ref="M15:AJ15" si="13">L15*0.99</f>
        <v>366725.06820826983</v>
      </c>
      <c r="N15" s="47">
        <f t="shared" si="13"/>
        <v>363057.81752618711</v>
      </c>
      <c r="O15" s="47">
        <f t="shared" si="13"/>
        <v>359427.23935092526</v>
      </c>
      <c r="P15" s="47">
        <f t="shared" si="13"/>
        <v>355832.96695741598</v>
      </c>
      <c r="Q15" s="47">
        <f t="shared" si="13"/>
        <v>352274.63728784182</v>
      </c>
      <c r="R15" s="47">
        <f t="shared" si="13"/>
        <v>348751.89091496338</v>
      </c>
      <c r="S15" s="47">
        <f t="shared" si="13"/>
        <v>345264.37200581376</v>
      </c>
      <c r="T15" s="47">
        <f t="shared" si="13"/>
        <v>341811.72828575561</v>
      </c>
      <c r="U15" s="47">
        <f t="shared" si="13"/>
        <v>338393.61100289808</v>
      </c>
      <c r="V15" s="47">
        <f t="shared" si="13"/>
        <v>335009.67489286908</v>
      </c>
      <c r="W15" s="47">
        <f t="shared" si="13"/>
        <v>331659.57814394037</v>
      </c>
      <c r="X15" s="47">
        <f t="shared" si="13"/>
        <v>328342.98236250097</v>
      </c>
      <c r="Y15" s="47">
        <f t="shared" si="13"/>
        <v>325059.55253887596</v>
      </c>
      <c r="Z15" s="47">
        <f t="shared" si="13"/>
        <v>321808.95701348718</v>
      </c>
      <c r="AA15" s="47">
        <f t="shared" si="13"/>
        <v>318590.8674433523</v>
      </c>
      <c r="AB15" s="47">
        <f t="shared" si="13"/>
        <v>315404.95876891876</v>
      </c>
      <c r="AC15" s="47">
        <f t="shared" si="13"/>
        <v>312250.9091812296</v>
      </c>
      <c r="AD15" s="47">
        <f t="shared" si="13"/>
        <v>309128.40008941729</v>
      </c>
      <c r="AE15" s="47">
        <f t="shared" si="13"/>
        <v>306037.11608852312</v>
      </c>
      <c r="AF15" s="47">
        <f t="shared" si="13"/>
        <v>302976.74492763786</v>
      </c>
      <c r="AG15" s="47">
        <f t="shared" si="13"/>
        <v>299946.97747836146</v>
      </c>
      <c r="AH15" s="47">
        <f t="shared" si="13"/>
        <v>296947.50770357787</v>
      </c>
      <c r="AI15" s="47">
        <f t="shared" si="13"/>
        <v>293978.03262654209</v>
      </c>
      <c r="AJ15" s="129">
        <f t="shared" si="13"/>
        <v>291038.25230027665</v>
      </c>
    </row>
    <row r="17" spans="4:36" x14ac:dyDescent="0.25">
      <c r="D17" s="88" t="s">
        <v>54</v>
      </c>
      <c r="E17" s="83" t="s">
        <v>2</v>
      </c>
      <c r="F17" s="99">
        <v>0.02</v>
      </c>
      <c r="G17" s="99">
        <f>F17</f>
        <v>0.02</v>
      </c>
      <c r="H17" s="99">
        <f t="shared" ref="H17:AJ17" si="14">G17</f>
        <v>0.02</v>
      </c>
      <c r="I17" s="99">
        <f t="shared" si="14"/>
        <v>0.02</v>
      </c>
      <c r="J17" s="99">
        <f t="shared" si="14"/>
        <v>0.02</v>
      </c>
      <c r="K17" s="99">
        <f t="shared" si="14"/>
        <v>0.02</v>
      </c>
      <c r="L17" s="99">
        <f t="shared" si="14"/>
        <v>0.02</v>
      </c>
      <c r="M17" s="99">
        <f t="shared" si="14"/>
        <v>0.02</v>
      </c>
      <c r="N17" s="99">
        <f t="shared" si="14"/>
        <v>0.02</v>
      </c>
      <c r="O17" s="99">
        <f t="shared" si="14"/>
        <v>0.02</v>
      </c>
      <c r="P17" s="99">
        <f t="shared" si="14"/>
        <v>0.02</v>
      </c>
      <c r="Q17" s="99">
        <f t="shared" si="14"/>
        <v>0.02</v>
      </c>
      <c r="R17" s="99">
        <f t="shared" si="14"/>
        <v>0.02</v>
      </c>
      <c r="S17" s="99">
        <f t="shared" si="14"/>
        <v>0.02</v>
      </c>
      <c r="T17" s="99">
        <f t="shared" si="14"/>
        <v>0.02</v>
      </c>
      <c r="U17" s="99">
        <f t="shared" si="14"/>
        <v>0.02</v>
      </c>
      <c r="V17" s="99">
        <f t="shared" si="14"/>
        <v>0.02</v>
      </c>
      <c r="W17" s="99">
        <f t="shared" si="14"/>
        <v>0.02</v>
      </c>
      <c r="X17" s="99">
        <f t="shared" si="14"/>
        <v>0.02</v>
      </c>
      <c r="Y17" s="99">
        <f t="shared" si="14"/>
        <v>0.02</v>
      </c>
      <c r="Z17" s="99">
        <f t="shared" si="14"/>
        <v>0.02</v>
      </c>
      <c r="AA17" s="99">
        <f t="shared" si="14"/>
        <v>0.02</v>
      </c>
      <c r="AB17" s="99">
        <f t="shared" si="14"/>
        <v>0.02</v>
      </c>
      <c r="AC17" s="99">
        <f t="shared" si="14"/>
        <v>0.02</v>
      </c>
      <c r="AD17" s="99">
        <f t="shared" si="14"/>
        <v>0.02</v>
      </c>
      <c r="AE17" s="99">
        <f t="shared" si="14"/>
        <v>0.02</v>
      </c>
      <c r="AF17" s="99">
        <f t="shared" si="14"/>
        <v>0.02</v>
      </c>
      <c r="AG17" s="99">
        <f t="shared" si="14"/>
        <v>0.02</v>
      </c>
      <c r="AH17" s="99">
        <f t="shared" si="14"/>
        <v>0.02</v>
      </c>
      <c r="AI17" s="99">
        <f t="shared" si="14"/>
        <v>0.02</v>
      </c>
      <c r="AJ17" s="99">
        <f t="shared" si="14"/>
        <v>0.02</v>
      </c>
    </row>
    <row r="23" spans="4:36" x14ac:dyDescent="0.25">
      <c r="F23" s="1"/>
    </row>
  </sheetData>
  <mergeCells count="5">
    <mergeCell ref="A2:A15"/>
    <mergeCell ref="C4:C11"/>
    <mergeCell ref="C12:C15"/>
    <mergeCell ref="B2:D2"/>
    <mergeCell ref="B1:AJ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AJ21"/>
  <sheetViews>
    <sheetView zoomScale="80" zoomScaleNormal="80" workbookViewId="0">
      <selection activeCell="AJ22" sqref="AJ22"/>
    </sheetView>
  </sheetViews>
  <sheetFormatPr defaultRowHeight="15" outlineLevelCol="1" x14ac:dyDescent="0.25"/>
  <cols>
    <col min="1" max="1" width="15.28515625" customWidth="1"/>
    <col min="2" max="2" width="6.140625" customWidth="1"/>
    <col min="3" max="3" width="3.85546875" customWidth="1"/>
    <col min="4" max="4" width="31.140625" customWidth="1"/>
    <col min="5" max="5" width="8.85546875" style="134" customWidth="1"/>
    <col min="6" max="6" width="11.140625" customWidth="1"/>
    <col min="7" max="7" width="11.5703125" hidden="1" customWidth="1" outlineLevel="1"/>
    <col min="8" max="8" width="10.5703125" hidden="1" customWidth="1" outlineLevel="1"/>
    <col min="9" max="11" width="12.5703125" hidden="1" customWidth="1" outlineLevel="1"/>
    <col min="12" max="12" width="12.5703125" customWidth="1" collapsed="1"/>
    <col min="13" max="13" width="12.5703125" hidden="1" customWidth="1" outlineLevel="1"/>
    <col min="14" max="15" width="10.140625" hidden="1" customWidth="1" outlineLevel="1"/>
    <col min="16" max="16" width="12.5703125" hidden="1" customWidth="1" outlineLevel="1"/>
    <col min="17" max="23" width="10.140625" hidden="1" customWidth="1" outlineLevel="1"/>
    <col min="24" max="24" width="10.5703125" hidden="1" customWidth="1" outlineLevel="1"/>
    <col min="25" max="25" width="12.5703125" hidden="1" customWidth="1" outlineLevel="1"/>
    <col min="26" max="35" width="10.140625" hidden="1" customWidth="1" outlineLevel="1"/>
    <col min="36" max="36" width="10.140625" customWidth="1" collapsed="1"/>
  </cols>
  <sheetData>
    <row r="1" spans="1:36" ht="15.75" thickBot="1" x14ac:dyDescent="0.3">
      <c r="B1" s="217" t="s">
        <v>100</v>
      </c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</row>
    <row r="2" spans="1:36" ht="15.75" thickBot="1" x14ac:dyDescent="0.3">
      <c r="A2" s="209">
        <f>'Prognoza Apa'!A7</f>
        <v>0</v>
      </c>
      <c r="B2" s="215" t="str">
        <f>'Prognoza Apa'!B7</f>
        <v>Intorsura Buzaului</v>
      </c>
      <c r="C2" s="216"/>
      <c r="D2" s="216"/>
      <c r="E2" s="150" t="s">
        <v>64</v>
      </c>
      <c r="F2" s="151">
        <v>2018</v>
      </c>
      <c r="G2" s="151">
        <v>2019</v>
      </c>
      <c r="H2" s="151">
        <v>2020</v>
      </c>
      <c r="I2" s="151">
        <v>2021</v>
      </c>
      <c r="J2" s="151">
        <v>2022</v>
      </c>
      <c r="K2" s="151">
        <v>2023</v>
      </c>
      <c r="L2" s="151">
        <v>2024</v>
      </c>
      <c r="M2" s="151">
        <v>2025</v>
      </c>
      <c r="N2" s="151">
        <v>2026</v>
      </c>
      <c r="O2" s="151">
        <v>2027</v>
      </c>
      <c r="P2" s="151">
        <v>2028</v>
      </c>
      <c r="Q2" s="151">
        <v>2029</v>
      </c>
      <c r="R2" s="151">
        <v>2030</v>
      </c>
      <c r="S2" s="151">
        <v>2031</v>
      </c>
      <c r="T2" s="151">
        <v>2032</v>
      </c>
      <c r="U2" s="151">
        <v>2033</v>
      </c>
      <c r="V2" s="151">
        <v>2034</v>
      </c>
      <c r="W2" s="151">
        <v>2035</v>
      </c>
      <c r="X2" s="151">
        <v>2036</v>
      </c>
      <c r="Y2" s="151">
        <v>2037</v>
      </c>
      <c r="Z2" s="151">
        <v>2038</v>
      </c>
      <c r="AA2" s="151">
        <v>2039</v>
      </c>
      <c r="AB2" s="151">
        <v>2040</v>
      </c>
      <c r="AC2" s="151">
        <v>2041</v>
      </c>
      <c r="AD2" s="151">
        <v>2042</v>
      </c>
      <c r="AE2" s="151">
        <v>2043</v>
      </c>
      <c r="AF2" s="151">
        <v>2044</v>
      </c>
      <c r="AG2" s="151">
        <v>2045</v>
      </c>
      <c r="AH2" s="151">
        <v>2046</v>
      </c>
      <c r="AI2" s="151">
        <v>2047</v>
      </c>
      <c r="AJ2" s="152">
        <v>2048</v>
      </c>
    </row>
    <row r="3" spans="1:36" x14ac:dyDescent="0.25">
      <c r="A3" s="221"/>
      <c r="B3" s="153" t="s">
        <v>22</v>
      </c>
      <c r="C3" s="218" t="s">
        <v>82</v>
      </c>
      <c r="D3" s="154" t="s">
        <v>23</v>
      </c>
      <c r="E3" s="155" t="s">
        <v>76</v>
      </c>
      <c r="F3" s="156">
        <f>'Prognoza BA'!F3/365</f>
        <v>2177.3534246575341</v>
      </c>
      <c r="G3" s="156">
        <f>'Prognoza BA'!G3/365</f>
        <v>2140.2508247686496</v>
      </c>
      <c r="H3" s="156">
        <f>'Prognoza BA'!H3/365</f>
        <v>2129.5462544879765</v>
      </c>
      <c r="I3" s="156">
        <f>'Prognoza BA'!I3/365</f>
        <v>2122.3823781677038</v>
      </c>
      <c r="J3" s="156">
        <f>'Prognoza BA'!J3/365</f>
        <v>2117.2615560170007</v>
      </c>
      <c r="K3" s="156">
        <f>'Prognoza BA'!K3/365</f>
        <v>2113.3774928413136</v>
      </c>
      <c r="L3" s="156">
        <f>'Prognoza BA'!L3/365</f>
        <v>2202.4180665967624</v>
      </c>
      <c r="M3" s="156">
        <f>'Prognoza BA'!M3/365</f>
        <v>2180.0755686483344</v>
      </c>
      <c r="N3" s="156">
        <f>'Prognoza BA'!N3/365</f>
        <v>2157.9572301266535</v>
      </c>
      <c r="O3" s="156">
        <f>'Prognoza BA'!O3/365</f>
        <v>2136.0609238977077</v>
      </c>
      <c r="P3" s="156">
        <f>'Prognoza BA'!P3/365</f>
        <v>2114.3845425167719</v>
      </c>
      <c r="Q3" s="156">
        <f>'Prognoza BA'!Q3/365</f>
        <v>2092.9259980476781</v>
      </c>
      <c r="R3" s="156">
        <f>'Prognoza BA'!R3/365</f>
        <v>2071.6832218837508</v>
      </c>
      <c r="S3" s="156">
        <f>'Prognoza BA'!S3/365</f>
        <v>2051.5062520489705</v>
      </c>
      <c r="T3" s="156">
        <f>'Prognoza BA'!T3/365</f>
        <v>2043.5779200816341</v>
      </c>
      <c r="U3" s="156">
        <f>'Prognoza BA'!U3/365</f>
        <v>2035.7008343894099</v>
      </c>
      <c r="V3" s="156">
        <f>'Prognoza BA'!V3/365</f>
        <v>2027.8744732628008</v>
      </c>
      <c r="W3" s="156">
        <f>'Prognoza BA'!W3/365</f>
        <v>2020.0983212139872</v>
      </c>
      <c r="X3" s="156">
        <f>'Prognoza BA'!X3/365</f>
        <v>2012.371868903524</v>
      </c>
      <c r="Y3" s="156">
        <f>'Prognoza BA'!Y3/365</f>
        <v>2004.694613067865</v>
      </c>
      <c r="Z3" s="156">
        <f>'Prognoza BA'!Z3/365</f>
        <v>1997.0660564477039</v>
      </c>
      <c r="AA3" s="156">
        <f>'Prognoza BA'!AA3/365</f>
        <v>1989.4857077171248</v>
      </c>
      <c r="AB3" s="156">
        <f>'Prognoza BA'!AB3/365</f>
        <v>1981.953081413553</v>
      </c>
      <c r="AC3" s="156">
        <f>'Prognoza BA'!AC3/365</f>
        <v>1976.448686152306</v>
      </c>
      <c r="AD3" s="156">
        <f>'Prognoza BA'!AD3/365</f>
        <v>1971.005864395639</v>
      </c>
      <c r="AE3" s="156">
        <f>'Prognoza BA'!AE3/365</f>
        <v>1965.6238381815645</v>
      </c>
      <c r="AF3" s="156">
        <f>'Prognoza BA'!AF3/365</f>
        <v>1960.3018382941259</v>
      </c>
      <c r="AG3" s="156">
        <f>'Prognoza BA'!AG3/365</f>
        <v>1955.039104171434</v>
      </c>
      <c r="AH3" s="156">
        <f>'Prognoza BA'!AH3/365</f>
        <v>1949.8348838146348</v>
      </c>
      <c r="AI3" s="156">
        <f>'Prognoza BA'!AI3/365</f>
        <v>1944.6884336978073</v>
      </c>
      <c r="AJ3" s="157">
        <f>'Prognoza BA'!AJ3/365</f>
        <v>1933.2234637950821</v>
      </c>
    </row>
    <row r="4" spans="1:36" ht="15" customHeight="1" x14ac:dyDescent="0.25">
      <c r="A4" s="221"/>
      <c r="B4" s="158" t="s">
        <v>1</v>
      </c>
      <c r="C4" s="219"/>
      <c r="D4" s="8" t="s">
        <v>27</v>
      </c>
      <c r="E4" s="137" t="s">
        <v>77</v>
      </c>
      <c r="F4" s="143">
        <f>'Prognoza BA'!F8/365</f>
        <v>1407.6767123287671</v>
      </c>
      <c r="G4" s="143">
        <f>'Prognoza BA'!G8/365</f>
        <v>1369.2308393071969</v>
      </c>
      <c r="H4" s="143">
        <f>'Prognoza BA'!H8/365</f>
        <v>1355.7524896734653</v>
      </c>
      <c r="I4" s="145">
        <f>'Prognoza BA'!I8/365</f>
        <v>1342.4775965012229</v>
      </c>
      <c r="J4" s="145">
        <f>'Prognoza BA'!J8/365</f>
        <v>1329.3748805688301</v>
      </c>
      <c r="K4" s="145">
        <f>'Prognoza BA'!K8/365</f>
        <v>1316.4269028108313</v>
      </c>
      <c r="L4" s="143">
        <f>'Prognoza BA'!L8/365</f>
        <v>1234.8412537134325</v>
      </c>
      <c r="M4" s="146">
        <f>'Prognoza BA'!M8/365</f>
        <v>1222.4581156545753</v>
      </c>
      <c r="N4" s="143">
        <f>'Prognoza BA'!N8/365</f>
        <v>1210.1988890978259</v>
      </c>
      <c r="O4" s="146">
        <f>'Prognoza BA'!O8/365</f>
        <v>1198.0623474147374</v>
      </c>
      <c r="P4" s="143">
        <f>'Prognoza BA'!P8/365</f>
        <v>1186.0472760705579</v>
      </c>
      <c r="Q4" s="143">
        <f>'Prognoza BA'!Q8/365</f>
        <v>1174.1524725050606</v>
      </c>
      <c r="R4" s="143">
        <f>'Prognoza BA'!R8/365</f>
        <v>1162.3767460145425</v>
      </c>
      <c r="S4" s="143">
        <f>'Prognoza BA'!S8/365</f>
        <v>1150.8118726326579</v>
      </c>
      <c r="T4" s="143">
        <f>'Prognoza BA'!T8/365</f>
        <v>1140.6768517848573</v>
      </c>
      <c r="U4" s="143">
        <f>'Prognoza BA'!U8/365</f>
        <v>1130.6401225588552</v>
      </c>
      <c r="V4" s="143">
        <f>'Prognoza BA'!V8/365</f>
        <v>1120.7007010296975</v>
      </c>
      <c r="W4" s="143">
        <f>'Prognoza BA'!W8/365</f>
        <v>1110.8576132212711</v>
      </c>
      <c r="X4" s="143">
        <f>'Prognoza BA'!X8/365</f>
        <v>1101.109895005605</v>
      </c>
      <c r="Y4" s="143">
        <f>'Prognoza BA'!Y8/365</f>
        <v>1091.4565920031898</v>
      </c>
      <c r="Z4" s="143">
        <f>'Prognoza BA'!Z8/365</f>
        <v>1081.8967594843054</v>
      </c>
      <c r="AA4" s="143">
        <f>'Prognoza BA'!AA8/365</f>
        <v>1072.4294622713421</v>
      </c>
      <c r="AB4" s="143">
        <f>'Prognoza BA'!AB8/365</f>
        <v>1063.0537746421121</v>
      </c>
      <c r="AC4" s="143">
        <f>'Prognoza BA'!AC8/365</f>
        <v>1053.9848880469153</v>
      </c>
      <c r="AD4" s="143">
        <f>'Prognoza BA'!AD8/365</f>
        <v>1045.0074026324305</v>
      </c>
      <c r="AE4" s="143">
        <f>'Prognoza BA'!AE8/365</f>
        <v>1036.1203866893661</v>
      </c>
      <c r="AF4" s="143">
        <f>'Prognoza BA'!AF8/365</f>
        <v>1027.3229179309499</v>
      </c>
      <c r="AG4" s="143">
        <f>'Prognoza BA'!AG8/365</f>
        <v>1018.614083398213</v>
      </c>
      <c r="AH4" s="143">
        <f>'Prognoza BA'!AH8/365</f>
        <v>1009.9929793662216</v>
      </c>
      <c r="AI4" s="143">
        <f>'Prognoza BA'!AI8/365</f>
        <v>1001.4587112512487</v>
      </c>
      <c r="AJ4" s="159">
        <f>'Prognoza BA'!AJ8/365</f>
        <v>992.31487844065452</v>
      </c>
    </row>
    <row r="5" spans="1:36" x14ac:dyDescent="0.25">
      <c r="A5" s="221"/>
      <c r="B5" s="158" t="s">
        <v>3</v>
      </c>
      <c r="C5" s="219"/>
      <c r="D5" s="147" t="s">
        <v>78</v>
      </c>
      <c r="E5" s="26" t="s">
        <v>2</v>
      </c>
      <c r="F5" s="148">
        <f>F4/F3</f>
        <v>0.64650813983043387</v>
      </c>
      <c r="G5" s="149">
        <f t="shared" ref="G5:AJ5" si="0">G4/G3</f>
        <v>0.63975251099609032</v>
      </c>
      <c r="H5" s="149">
        <f t="shared" si="0"/>
        <v>0.63663913700688302</v>
      </c>
      <c r="I5" s="149">
        <f t="shared" si="0"/>
        <v>0.63253333155744129</v>
      </c>
      <c r="J5" s="149">
        <f t="shared" si="0"/>
        <v>0.62787466045038598</v>
      </c>
      <c r="K5" s="149">
        <f t="shared" si="0"/>
        <v>0.62290192228789731</v>
      </c>
      <c r="L5" s="148">
        <f t="shared" si="0"/>
        <v>0.56067522894122612</v>
      </c>
      <c r="M5" s="148">
        <f t="shared" si="0"/>
        <v>0.56074116568927468</v>
      </c>
      <c r="N5" s="148">
        <f t="shared" si="0"/>
        <v>0.56080763427679137</v>
      </c>
      <c r="O5" s="148">
        <f t="shared" si="0"/>
        <v>0.56087461458197174</v>
      </c>
      <c r="P5" s="148">
        <f t="shared" si="0"/>
        <v>0.56094208608751683</v>
      </c>
      <c r="Q5" s="148">
        <f t="shared" si="0"/>
        <v>0.56101002787500975</v>
      </c>
      <c r="R5" s="148">
        <f t="shared" si="0"/>
        <v>0.5610784186192378</v>
      </c>
      <c r="S5" s="148">
        <f t="shared" si="0"/>
        <v>0.56095947623033982</v>
      </c>
      <c r="T5" s="148">
        <f t="shared" si="0"/>
        <v>0.5581763438407531</v>
      </c>
      <c r="U5" s="148">
        <f t="shared" si="0"/>
        <v>0.55540583540507338</v>
      </c>
      <c r="V5" s="148">
        <f t="shared" si="0"/>
        <v>0.55264796505205627</v>
      </c>
      <c r="W5" s="148">
        <f t="shared" si="0"/>
        <v>0.5499027456018557</v>
      </c>
      <c r="X5" s="148">
        <f t="shared" si="0"/>
        <v>0.54717018858227429</v>
      </c>
      <c r="Y5" s="148">
        <f t="shared" si="0"/>
        <v>0.54445030424503904</v>
      </c>
      <c r="Z5" s="148">
        <f t="shared" si="0"/>
        <v>0.5417431015820966</v>
      </c>
      <c r="AA5" s="148">
        <f t="shared" si="0"/>
        <v>0.53904858834192015</v>
      </c>
      <c r="AB5" s="148">
        <f t="shared" si="0"/>
        <v>0.53636677104582575</v>
      </c>
      <c r="AC5" s="148">
        <f t="shared" si="0"/>
        <v>0.53327207300220025</v>
      </c>
      <c r="AD5" s="148">
        <f t="shared" si="0"/>
        <v>0.53018990024814394</v>
      </c>
      <c r="AE5" s="148">
        <f t="shared" si="0"/>
        <v>0.52712038110399628</v>
      </c>
      <c r="AF5" s="148">
        <f t="shared" si="0"/>
        <v>0.52406364053861032</v>
      </c>
      <c r="AG5" s="148">
        <f t="shared" si="0"/>
        <v>0.52101980017934846</v>
      </c>
      <c r="AH5" s="148">
        <f t="shared" si="0"/>
        <v>0.51798897832327362</v>
      </c>
      <c r="AI5" s="148">
        <f t="shared" si="0"/>
        <v>0.51497128994950836</v>
      </c>
      <c r="AJ5" s="160">
        <f t="shared" si="0"/>
        <v>0.51329548654073132</v>
      </c>
    </row>
    <row r="6" spans="1:36" x14ac:dyDescent="0.25">
      <c r="A6" s="221"/>
      <c r="B6" s="158" t="s">
        <v>0</v>
      </c>
      <c r="C6" s="219"/>
      <c r="D6" s="8" t="s">
        <v>79</v>
      </c>
      <c r="E6" s="26" t="s">
        <v>77</v>
      </c>
      <c r="F6" s="171">
        <f>'Prognoza BA'!F15/365</f>
        <v>1367.1674116798845</v>
      </c>
      <c r="G6" s="171">
        <f>'Prognoza BA'!G15/365</f>
        <v>1353.4957375630859</v>
      </c>
      <c r="H6" s="171">
        <f>'Prognoza BA'!H15/365</f>
        <v>1339.9607801874549</v>
      </c>
      <c r="I6" s="171">
        <f>'Prognoza BA'!I15/365</f>
        <v>1326.5611723855804</v>
      </c>
      <c r="J6" s="171">
        <f>'Prognoza BA'!J15/365</f>
        <v>1313.2955606617245</v>
      </c>
      <c r="K6" s="171">
        <f>'Prognoza BA'!K15/365</f>
        <v>1300.1626050551072</v>
      </c>
      <c r="L6" s="171">
        <f>'Prognoza BA'!L15/365</f>
        <v>1014.8749639083156</v>
      </c>
      <c r="M6" s="171">
        <f>'Prognoza BA'!M15/365</f>
        <v>1004.7262142692324</v>
      </c>
      <c r="N6" s="171">
        <f>'Prognoza BA'!N15/365</f>
        <v>994.67895212654003</v>
      </c>
      <c r="O6" s="171">
        <f>'Prognoza BA'!O15/365</f>
        <v>984.73216260527465</v>
      </c>
      <c r="P6" s="171">
        <f>'Prognoza BA'!P15/365</f>
        <v>974.88484097922185</v>
      </c>
      <c r="Q6" s="171">
        <f>'Prognoza BA'!Q15/365</f>
        <v>965.13599256942962</v>
      </c>
      <c r="R6" s="171">
        <f>'Prognoza BA'!R15/365</f>
        <v>955.48463264373527</v>
      </c>
      <c r="S6" s="171">
        <f>'Prognoza BA'!S15/365</f>
        <v>945.92978631729795</v>
      </c>
      <c r="T6" s="171">
        <f>'Prognoza BA'!T15/365</f>
        <v>936.47048845412496</v>
      </c>
      <c r="U6" s="171">
        <f>'Prognoza BA'!U15/365</f>
        <v>927.10578356958376</v>
      </c>
      <c r="V6" s="171">
        <f>'Prognoza BA'!V15/365</f>
        <v>917.83472573388792</v>
      </c>
      <c r="W6" s="171">
        <f>'Prognoza BA'!W15/365</f>
        <v>908.65637847654898</v>
      </c>
      <c r="X6" s="171">
        <f>'Prognoza BA'!X15/365</f>
        <v>899.56981469178345</v>
      </c>
      <c r="Y6" s="171">
        <f>'Prognoza BA'!Y15/365</f>
        <v>890.57411654486566</v>
      </c>
      <c r="Z6" s="171">
        <f>'Prognoza BA'!Z15/365</f>
        <v>881.66837537941694</v>
      </c>
      <c r="AA6" s="171">
        <f>'Prognoza BA'!AA15/365</f>
        <v>872.85169162562272</v>
      </c>
      <c r="AB6" s="171">
        <f>'Prognoza BA'!AB15/365</f>
        <v>864.12317470936648</v>
      </c>
      <c r="AC6" s="171">
        <f>'Prognoza BA'!AC15/365</f>
        <v>855.48194296227291</v>
      </c>
      <c r="AD6" s="171">
        <f>'Prognoza BA'!AD15/365</f>
        <v>846.92712353265017</v>
      </c>
      <c r="AE6" s="171">
        <f>'Prognoza BA'!AE15/365</f>
        <v>838.4578522973236</v>
      </c>
      <c r="AF6" s="171">
        <f>'Prognoza BA'!AF15/365</f>
        <v>830.07327377435035</v>
      </c>
      <c r="AG6" s="171">
        <f>'Prognoza BA'!AG15/365</f>
        <v>821.77254103660675</v>
      </c>
      <c r="AH6" s="171">
        <f>'Prognoza BA'!AH15/365</f>
        <v>813.55481562624072</v>
      </c>
      <c r="AI6" s="171">
        <f>'Prognoza BA'!AI15/365</f>
        <v>805.41926746997831</v>
      </c>
      <c r="AJ6" s="172">
        <f>'Prognoza BA'!AJ15/365</f>
        <v>797.36507479527847</v>
      </c>
    </row>
    <row r="7" spans="1:36" x14ac:dyDescent="0.25">
      <c r="A7" s="221"/>
      <c r="B7" s="158"/>
      <c r="C7" s="219"/>
      <c r="D7" s="8" t="s">
        <v>80</v>
      </c>
      <c r="E7" s="26" t="s">
        <v>2</v>
      </c>
      <c r="F7" s="144">
        <f>F6/F3</f>
        <v>0.62790330508466718</v>
      </c>
      <c r="G7" s="144">
        <f t="shared" ref="G7:AJ7" si="1">G6/G3</f>
        <v>0.63240052142458203</v>
      </c>
      <c r="H7" s="144">
        <f t="shared" si="1"/>
        <v>0.62922360919069686</v>
      </c>
      <c r="I7" s="144">
        <f t="shared" si="1"/>
        <v>0.62503401179330742</v>
      </c>
      <c r="J7" s="144">
        <f t="shared" si="1"/>
        <v>0.62028026576569995</v>
      </c>
      <c r="K7" s="144">
        <f t="shared" si="1"/>
        <v>0.61520604315091565</v>
      </c>
      <c r="L7" s="144">
        <f t="shared" si="1"/>
        <v>0.4608003263778746</v>
      </c>
      <c r="M7" s="144">
        <f t="shared" si="1"/>
        <v>0.46086760877384231</v>
      </c>
      <c r="N7" s="144">
        <f t="shared" si="1"/>
        <v>0.46093543386314517</v>
      </c>
      <c r="O7" s="144">
        <f t="shared" si="1"/>
        <v>0.46100378111332924</v>
      </c>
      <c r="P7" s="144">
        <f t="shared" si="1"/>
        <v>0.46107262958837525</v>
      </c>
      <c r="Q7" s="144">
        <f t="shared" si="1"/>
        <v>0.46114195794295981</v>
      </c>
      <c r="R7" s="144">
        <f t="shared" si="1"/>
        <v>0.46121174441666196</v>
      </c>
      <c r="S7" s="144">
        <f t="shared" si="1"/>
        <v>0.46109037463207209</v>
      </c>
      <c r="T7" s="144">
        <f t="shared" si="1"/>
        <v>0.45825044362228973</v>
      </c>
      <c r="U7" s="144">
        <f t="shared" si="1"/>
        <v>0.45542339419812672</v>
      </c>
      <c r="V7" s="144">
        <f t="shared" si="1"/>
        <v>0.45260924077668085</v>
      </c>
      <c r="W7" s="144">
        <f t="shared" si="1"/>
        <v>0.44980799643974151</v>
      </c>
      <c r="X7" s="144">
        <f t="shared" si="1"/>
        <v>0.44701967295037265</v>
      </c>
      <c r="Y7" s="144">
        <f t="shared" si="1"/>
        <v>0.44424428076952038</v>
      </c>
      <c r="Z7" s="144">
        <f t="shared" si="1"/>
        <v>0.44148182907264027</v>
      </c>
      <c r="AA7" s="144">
        <f t="shared" si="1"/>
        <v>0.43873232576633781</v>
      </c>
      <c r="AB7" s="144">
        <f t="shared" si="1"/>
        <v>0.43599577750501706</v>
      </c>
      <c r="AC7" s="144">
        <f t="shared" si="1"/>
        <v>0.43283792235846041</v>
      </c>
      <c r="AD7" s="144">
        <f t="shared" si="1"/>
        <v>0.42969284811962738</v>
      </c>
      <c r="AE7" s="144">
        <f t="shared" si="1"/>
        <v>0.42656068572763989</v>
      </c>
      <c r="AF7" s="144">
        <f t="shared" si="1"/>
        <v>0.42344156270173594</v>
      </c>
      <c r="AG7" s="144">
        <f t="shared" si="1"/>
        <v>0.42033560315146867</v>
      </c>
      <c r="AH7" s="144">
        <f t="shared" si="1"/>
        <v>0.41724292778812699</v>
      </c>
      <c r="AI7" s="144">
        <f t="shared" si="1"/>
        <v>0.41416365393734611</v>
      </c>
      <c r="AJ7" s="161">
        <f t="shared" si="1"/>
        <v>0.41245365045900229</v>
      </c>
    </row>
    <row r="8" spans="1:36" x14ac:dyDescent="0.25">
      <c r="A8" s="221"/>
      <c r="B8" s="158" t="s">
        <v>5</v>
      </c>
      <c r="C8" s="219"/>
      <c r="D8" s="8" t="s">
        <v>91</v>
      </c>
      <c r="E8" s="26" t="s">
        <v>4</v>
      </c>
      <c r="F8" s="143">
        <f>F6/F13*1000</f>
        <v>886.61959252910799</v>
      </c>
      <c r="G8" s="167">
        <f t="shared" ref="G8:AJ8" si="2">G6/G13*1000</f>
        <v>877.75339660381701</v>
      </c>
      <c r="H8" s="167">
        <f t="shared" si="2"/>
        <v>868.97586263777885</v>
      </c>
      <c r="I8" s="167">
        <f t="shared" si="2"/>
        <v>860.28610401140099</v>
      </c>
      <c r="J8" s="167">
        <f t="shared" si="2"/>
        <v>851.68324297128697</v>
      </c>
      <c r="K8" s="167">
        <f t="shared" si="2"/>
        <v>843.16641054157401</v>
      </c>
      <c r="L8" s="168">
        <f t="shared" si="2"/>
        <v>626.4711896905543</v>
      </c>
      <c r="M8" s="168">
        <f t="shared" si="2"/>
        <v>620.20647779364856</v>
      </c>
      <c r="N8" s="168">
        <f t="shared" si="2"/>
        <v>614.00441301571209</v>
      </c>
      <c r="O8" s="168">
        <f t="shared" si="2"/>
        <v>607.864368885555</v>
      </c>
      <c r="P8" s="168">
        <f t="shared" si="2"/>
        <v>601.78572519669933</v>
      </c>
      <c r="Q8" s="168">
        <f t="shared" si="2"/>
        <v>595.76786794473242</v>
      </c>
      <c r="R8" s="168">
        <f t="shared" si="2"/>
        <v>589.81018926528509</v>
      </c>
      <c r="S8" s="168">
        <f t="shared" si="2"/>
        <v>583.91208737263219</v>
      </c>
      <c r="T8" s="168">
        <f t="shared" si="2"/>
        <v>578.07296649890588</v>
      </c>
      <c r="U8" s="168">
        <f t="shared" si="2"/>
        <v>572.29223683391683</v>
      </c>
      <c r="V8" s="168">
        <f t="shared" si="2"/>
        <v>566.56931446557769</v>
      </c>
      <c r="W8" s="168">
        <f t="shared" si="2"/>
        <v>560.90362132092184</v>
      </c>
      <c r="X8" s="168">
        <f t="shared" si="2"/>
        <v>555.29458510771269</v>
      </c>
      <c r="Y8" s="168">
        <f t="shared" si="2"/>
        <v>549.74163925663549</v>
      </c>
      <c r="Z8" s="168">
        <f t="shared" si="2"/>
        <v>544.24422286406912</v>
      </c>
      <c r="AA8" s="168">
        <f t="shared" si="2"/>
        <v>538.80178063542837</v>
      </c>
      <c r="AB8" s="168">
        <f t="shared" si="2"/>
        <v>533.41376282907413</v>
      </c>
      <c r="AC8" s="168">
        <f t="shared" si="2"/>
        <v>528.07962520078343</v>
      </c>
      <c r="AD8" s="168">
        <f t="shared" si="2"/>
        <v>522.79882894877562</v>
      </c>
      <c r="AE8" s="168">
        <f t="shared" si="2"/>
        <v>517.5708406592878</v>
      </c>
      <c r="AF8" s="168">
        <f t="shared" si="2"/>
        <v>512.39513225269491</v>
      </c>
      <c r="AG8" s="168">
        <f t="shared" si="2"/>
        <v>507.27118093016787</v>
      </c>
      <c r="AH8" s="168">
        <f t="shared" si="2"/>
        <v>502.19846912086632</v>
      </c>
      <c r="AI8" s="168">
        <f t="shared" si="2"/>
        <v>497.17648442965759</v>
      </c>
      <c r="AJ8" s="169">
        <f t="shared" si="2"/>
        <v>492.20471958536098</v>
      </c>
    </row>
    <row r="9" spans="1:36" x14ac:dyDescent="0.25">
      <c r="A9" s="221"/>
      <c r="B9" s="158" t="s">
        <v>98</v>
      </c>
      <c r="C9" s="219"/>
      <c r="D9" s="8" t="s">
        <v>92</v>
      </c>
      <c r="E9" s="26" t="s">
        <v>93</v>
      </c>
      <c r="F9" s="143">
        <f>F6/F12</f>
        <v>34.179185291997115</v>
      </c>
      <c r="G9" s="167">
        <f t="shared" ref="G9:AJ9" si="3">G6/G12</f>
        <v>33.837393439077147</v>
      </c>
      <c r="H9" s="167">
        <f t="shared" si="3"/>
        <v>33.499019504686373</v>
      </c>
      <c r="I9" s="167">
        <f t="shared" si="3"/>
        <v>33.16402930963951</v>
      </c>
      <c r="J9" s="167">
        <f t="shared" si="3"/>
        <v>32.832389016543111</v>
      </c>
      <c r="K9" s="167">
        <f t="shared" si="3"/>
        <v>32.504065126377682</v>
      </c>
      <c r="L9" s="168">
        <f t="shared" si="3"/>
        <v>24.150464362570869</v>
      </c>
      <c r="M9" s="168">
        <f t="shared" si="3"/>
        <v>23.908959718945155</v>
      </c>
      <c r="N9" s="168">
        <f t="shared" si="3"/>
        <v>23.669870121755704</v>
      </c>
      <c r="O9" s="168">
        <f t="shared" si="3"/>
        <v>23.433171420538148</v>
      </c>
      <c r="P9" s="168">
        <f t="shared" si="3"/>
        <v>23.198839706332766</v>
      </c>
      <c r="Q9" s="168">
        <f t="shared" si="3"/>
        <v>22.966851309269437</v>
      </c>
      <c r="R9" s="168">
        <f t="shared" si="3"/>
        <v>22.737182796176739</v>
      </c>
      <c r="S9" s="168">
        <f t="shared" si="3"/>
        <v>22.509810968214975</v>
      </c>
      <c r="T9" s="168">
        <f t="shared" si="3"/>
        <v>22.284712858532824</v>
      </c>
      <c r="U9" s="168">
        <f t="shared" si="3"/>
        <v>22.061865729947499</v>
      </c>
      <c r="V9" s="168">
        <f t="shared" si="3"/>
        <v>21.841247072648024</v>
      </c>
      <c r="W9" s="168">
        <f t="shared" si="3"/>
        <v>21.622834601921539</v>
      </c>
      <c r="X9" s="168">
        <f t="shared" si="3"/>
        <v>21.406606255902325</v>
      </c>
      <c r="Y9" s="168">
        <f t="shared" si="3"/>
        <v>21.192540193343302</v>
      </c>
      <c r="Z9" s="168">
        <f t="shared" si="3"/>
        <v>20.980614791409867</v>
      </c>
      <c r="AA9" s="168">
        <f t="shared" si="3"/>
        <v>20.770808643495769</v>
      </c>
      <c r="AB9" s="168">
        <f t="shared" si="3"/>
        <v>20.56310055706081</v>
      </c>
      <c r="AC9" s="168">
        <f t="shared" si="3"/>
        <v>20.357469551490205</v>
      </c>
      <c r="AD9" s="168">
        <f t="shared" si="3"/>
        <v>20.153894855975302</v>
      </c>
      <c r="AE9" s="168">
        <f t="shared" si="3"/>
        <v>19.952355907415548</v>
      </c>
      <c r="AF9" s="168">
        <f t="shared" si="3"/>
        <v>19.752832348341393</v>
      </c>
      <c r="AG9" s="168">
        <f t="shared" si="3"/>
        <v>19.555304024857975</v>
      </c>
      <c r="AH9" s="168">
        <f t="shared" si="3"/>
        <v>19.359750984609395</v>
      </c>
      <c r="AI9" s="168">
        <f t="shared" si="3"/>
        <v>19.166153474763302</v>
      </c>
      <c r="AJ9" s="169">
        <f t="shared" si="3"/>
        <v>18.974491940015668</v>
      </c>
    </row>
    <row r="10" spans="1:36" x14ac:dyDescent="0.25">
      <c r="A10" s="221"/>
      <c r="B10" s="158"/>
      <c r="C10" s="219"/>
      <c r="D10" s="8" t="s">
        <v>35</v>
      </c>
      <c r="E10" s="26" t="s">
        <v>76</v>
      </c>
      <c r="F10" s="145">
        <f>((18*F12/F13+0.8+0.025*F15)*F14)*F13/1000</f>
        <v>68.376000000000005</v>
      </c>
      <c r="G10" s="167">
        <f t="shared" ref="G10:AJ10" si="4">((18*G12/G13+0.8+0.025*G15)*G14)*G13/1000</f>
        <v>68.376000000000005</v>
      </c>
      <c r="H10" s="167">
        <f t="shared" si="4"/>
        <v>68.376000000000005</v>
      </c>
      <c r="I10" s="167">
        <f t="shared" si="4"/>
        <v>68.376000000000005</v>
      </c>
      <c r="J10" s="167">
        <f t="shared" si="4"/>
        <v>68.376000000000005</v>
      </c>
      <c r="K10" s="167">
        <f t="shared" si="4"/>
        <v>68.376000000000005</v>
      </c>
      <c r="L10" s="168">
        <f t="shared" si="4"/>
        <v>71.834116200000011</v>
      </c>
      <c r="M10" s="168">
        <f t="shared" si="4"/>
        <v>71.834116200000011</v>
      </c>
      <c r="N10" s="168">
        <f t="shared" si="4"/>
        <v>71.834116200000011</v>
      </c>
      <c r="O10" s="168">
        <f t="shared" si="4"/>
        <v>71.834116200000011</v>
      </c>
      <c r="P10" s="168">
        <f t="shared" si="4"/>
        <v>71.834116200000011</v>
      </c>
      <c r="Q10" s="168">
        <f t="shared" si="4"/>
        <v>71.834116200000011</v>
      </c>
      <c r="R10" s="168">
        <f t="shared" si="4"/>
        <v>71.834116200000011</v>
      </c>
      <c r="S10" s="168">
        <f t="shared" si="4"/>
        <v>71.834116200000011</v>
      </c>
      <c r="T10" s="168">
        <f t="shared" si="4"/>
        <v>71.834116200000011</v>
      </c>
      <c r="U10" s="168">
        <f t="shared" si="4"/>
        <v>71.834116200000011</v>
      </c>
      <c r="V10" s="168">
        <f t="shared" si="4"/>
        <v>71.834116200000011</v>
      </c>
      <c r="W10" s="168">
        <f t="shared" si="4"/>
        <v>71.834116200000011</v>
      </c>
      <c r="X10" s="168">
        <f t="shared" si="4"/>
        <v>71.834116200000011</v>
      </c>
      <c r="Y10" s="168">
        <f t="shared" si="4"/>
        <v>71.834116200000011</v>
      </c>
      <c r="Z10" s="168">
        <f t="shared" si="4"/>
        <v>71.834116200000011</v>
      </c>
      <c r="AA10" s="168">
        <f t="shared" si="4"/>
        <v>71.834116200000011</v>
      </c>
      <c r="AB10" s="168">
        <f t="shared" si="4"/>
        <v>71.834116200000011</v>
      </c>
      <c r="AC10" s="168">
        <f t="shared" si="4"/>
        <v>71.834116200000011</v>
      </c>
      <c r="AD10" s="168">
        <f t="shared" si="4"/>
        <v>71.834116200000011</v>
      </c>
      <c r="AE10" s="168">
        <f t="shared" si="4"/>
        <v>71.834116200000011</v>
      </c>
      <c r="AF10" s="168">
        <f t="shared" si="4"/>
        <v>71.834116200000011</v>
      </c>
      <c r="AG10" s="168">
        <f t="shared" si="4"/>
        <v>71.834116200000011</v>
      </c>
      <c r="AH10" s="168">
        <f t="shared" si="4"/>
        <v>71.834116200000011</v>
      </c>
      <c r="AI10" s="168">
        <f t="shared" si="4"/>
        <v>71.834116200000011</v>
      </c>
      <c r="AJ10" s="169">
        <f t="shared" si="4"/>
        <v>71.834116200000011</v>
      </c>
    </row>
    <row r="11" spans="1:36" ht="15.75" thickBot="1" x14ac:dyDescent="0.3">
      <c r="A11" s="221"/>
      <c r="B11" s="162" t="s">
        <v>7</v>
      </c>
      <c r="C11" s="220"/>
      <c r="D11" s="43" t="s">
        <v>6</v>
      </c>
      <c r="E11" s="141"/>
      <c r="F11" s="173">
        <f>F6/F10</f>
        <v>19.9948433906617</v>
      </c>
      <c r="G11" s="174">
        <f t="shared" ref="G11:AJ11" si="5">G6/G10</f>
        <v>19.794894956755087</v>
      </c>
      <c r="H11" s="174">
        <f t="shared" si="5"/>
        <v>19.596946007187533</v>
      </c>
      <c r="I11" s="174">
        <f t="shared" si="5"/>
        <v>19.400976547115661</v>
      </c>
      <c r="J11" s="174">
        <f t="shared" si="5"/>
        <v>19.2069667816445</v>
      </c>
      <c r="K11" s="174">
        <f t="shared" si="5"/>
        <v>19.014897113828056</v>
      </c>
      <c r="L11" s="175">
        <f t="shared" si="5"/>
        <v>14.128035780139736</v>
      </c>
      <c r="M11" s="175">
        <f t="shared" si="5"/>
        <v>13.986755422338337</v>
      </c>
      <c r="N11" s="175">
        <f t="shared" si="5"/>
        <v>13.846887868114955</v>
      </c>
      <c r="O11" s="175">
        <f t="shared" si="5"/>
        <v>13.708418989433804</v>
      </c>
      <c r="P11" s="175">
        <f t="shared" si="5"/>
        <v>13.571334799539466</v>
      </c>
      <c r="Q11" s="175">
        <f t="shared" si="5"/>
        <v>13.435621451544071</v>
      </c>
      <c r="R11" s="175">
        <f t="shared" si="5"/>
        <v>13.30126523702863</v>
      </c>
      <c r="S11" s="175">
        <f t="shared" si="5"/>
        <v>13.168252584658344</v>
      </c>
      <c r="T11" s="175">
        <f t="shared" si="5"/>
        <v>13.03657005881176</v>
      </c>
      <c r="U11" s="175">
        <f t="shared" si="5"/>
        <v>12.906204358223643</v>
      </c>
      <c r="V11" s="175">
        <f t="shared" si="5"/>
        <v>12.777142314641408</v>
      </c>
      <c r="W11" s="175">
        <f t="shared" si="5"/>
        <v>12.649370891494993</v>
      </c>
      <c r="X11" s="175">
        <f t="shared" si="5"/>
        <v>12.522877182580041</v>
      </c>
      <c r="Y11" s="175">
        <f t="shared" si="5"/>
        <v>12.397648410754242</v>
      </c>
      <c r="Z11" s="175">
        <f t="shared" si="5"/>
        <v>12.273671926646699</v>
      </c>
      <c r="AA11" s="175">
        <f t="shared" si="5"/>
        <v>12.150935207380231</v>
      </c>
      <c r="AB11" s="175">
        <f t="shared" si="5"/>
        <v>12.029425855306428</v>
      </c>
      <c r="AC11" s="175">
        <f t="shared" si="5"/>
        <v>11.909131596753365</v>
      </c>
      <c r="AD11" s="175">
        <f t="shared" si="5"/>
        <v>11.790040280785831</v>
      </c>
      <c r="AE11" s="175">
        <f t="shared" si="5"/>
        <v>11.672139877977973</v>
      </c>
      <c r="AF11" s="175">
        <f t="shared" si="5"/>
        <v>11.555418479198192</v>
      </c>
      <c r="AG11" s="175">
        <f t="shared" si="5"/>
        <v>11.43986429440621</v>
      </c>
      <c r="AH11" s="175">
        <f t="shared" si="5"/>
        <v>11.325465651462148</v>
      </c>
      <c r="AI11" s="175">
        <f t="shared" si="5"/>
        <v>11.212210994947526</v>
      </c>
      <c r="AJ11" s="176">
        <f t="shared" si="5"/>
        <v>11.100088884998049</v>
      </c>
    </row>
    <row r="12" spans="1:36" x14ac:dyDescent="0.25">
      <c r="A12" s="221"/>
      <c r="B12" s="153" t="s">
        <v>97</v>
      </c>
      <c r="C12" s="223" t="s">
        <v>81</v>
      </c>
      <c r="D12" s="37" t="s">
        <v>83</v>
      </c>
      <c r="E12" s="33" t="s">
        <v>84</v>
      </c>
      <c r="F12" s="37">
        <f>[1]Network!$D$28</f>
        <v>40</v>
      </c>
      <c r="G12" s="39">
        <f>F12</f>
        <v>40</v>
      </c>
      <c r="H12" s="39">
        <f t="shared" ref="H12:K12" si="6">G12</f>
        <v>40</v>
      </c>
      <c r="I12" s="39">
        <f t="shared" si="6"/>
        <v>40</v>
      </c>
      <c r="J12" s="39">
        <f t="shared" si="6"/>
        <v>40</v>
      </c>
      <c r="K12" s="39">
        <f t="shared" si="6"/>
        <v>40</v>
      </c>
      <c r="L12" s="165">
        <f>K12+2.023</f>
        <v>42.023000000000003</v>
      </c>
      <c r="M12" s="165">
        <f>L12</f>
        <v>42.023000000000003</v>
      </c>
      <c r="N12" s="165">
        <f t="shared" ref="N12:AJ12" si="7">M12</f>
        <v>42.023000000000003</v>
      </c>
      <c r="O12" s="165">
        <f t="shared" si="7"/>
        <v>42.023000000000003</v>
      </c>
      <c r="P12" s="165">
        <f t="shared" si="7"/>
        <v>42.023000000000003</v>
      </c>
      <c r="Q12" s="165">
        <f t="shared" si="7"/>
        <v>42.023000000000003</v>
      </c>
      <c r="R12" s="165">
        <f t="shared" si="7"/>
        <v>42.023000000000003</v>
      </c>
      <c r="S12" s="165">
        <f t="shared" si="7"/>
        <v>42.023000000000003</v>
      </c>
      <c r="T12" s="165">
        <f t="shared" si="7"/>
        <v>42.023000000000003</v>
      </c>
      <c r="U12" s="165">
        <f t="shared" si="7"/>
        <v>42.023000000000003</v>
      </c>
      <c r="V12" s="165">
        <f t="shared" si="7"/>
        <v>42.023000000000003</v>
      </c>
      <c r="W12" s="165">
        <f t="shared" si="7"/>
        <v>42.023000000000003</v>
      </c>
      <c r="X12" s="165">
        <f t="shared" si="7"/>
        <v>42.023000000000003</v>
      </c>
      <c r="Y12" s="165">
        <f t="shared" si="7"/>
        <v>42.023000000000003</v>
      </c>
      <c r="Z12" s="165">
        <f t="shared" si="7"/>
        <v>42.023000000000003</v>
      </c>
      <c r="AA12" s="165">
        <f t="shared" si="7"/>
        <v>42.023000000000003</v>
      </c>
      <c r="AB12" s="165">
        <f t="shared" si="7"/>
        <v>42.023000000000003</v>
      </c>
      <c r="AC12" s="165">
        <f t="shared" si="7"/>
        <v>42.023000000000003</v>
      </c>
      <c r="AD12" s="165">
        <f t="shared" si="7"/>
        <v>42.023000000000003</v>
      </c>
      <c r="AE12" s="165">
        <f t="shared" si="7"/>
        <v>42.023000000000003</v>
      </c>
      <c r="AF12" s="165">
        <f t="shared" si="7"/>
        <v>42.023000000000003</v>
      </c>
      <c r="AG12" s="165">
        <f t="shared" si="7"/>
        <v>42.023000000000003</v>
      </c>
      <c r="AH12" s="165">
        <f t="shared" si="7"/>
        <v>42.023000000000003</v>
      </c>
      <c r="AI12" s="165">
        <f t="shared" si="7"/>
        <v>42.023000000000003</v>
      </c>
      <c r="AJ12" s="166">
        <f t="shared" si="7"/>
        <v>42.023000000000003</v>
      </c>
    </row>
    <row r="13" spans="1:36" x14ac:dyDescent="0.25">
      <c r="A13" s="221"/>
      <c r="B13" s="158" t="s">
        <v>96</v>
      </c>
      <c r="C13" s="224"/>
      <c r="D13" s="8" t="s">
        <v>85</v>
      </c>
      <c r="E13" s="26" t="s">
        <v>86</v>
      </c>
      <c r="F13" s="2">
        <f>[1]Network!$H$30</f>
        <v>1542</v>
      </c>
      <c r="G13" s="138">
        <f>F13</f>
        <v>1542</v>
      </c>
      <c r="H13" s="138">
        <f t="shared" ref="H13:AJ15" si="8">G13</f>
        <v>1542</v>
      </c>
      <c r="I13" s="138">
        <f t="shared" si="8"/>
        <v>1542</v>
      </c>
      <c r="J13" s="138">
        <f t="shared" si="8"/>
        <v>1542</v>
      </c>
      <c r="K13" s="138">
        <f t="shared" si="8"/>
        <v>1542</v>
      </c>
      <c r="L13" s="139">
        <f>F13*L12/F12</f>
        <v>1619.9866500000003</v>
      </c>
      <c r="M13" s="139">
        <f t="shared" si="8"/>
        <v>1619.9866500000003</v>
      </c>
      <c r="N13" s="139">
        <f t="shared" si="8"/>
        <v>1619.9866500000003</v>
      </c>
      <c r="O13" s="139">
        <f t="shared" si="8"/>
        <v>1619.9866500000003</v>
      </c>
      <c r="P13" s="139">
        <f t="shared" si="8"/>
        <v>1619.9866500000003</v>
      </c>
      <c r="Q13" s="139">
        <f t="shared" si="8"/>
        <v>1619.9866500000003</v>
      </c>
      <c r="R13" s="139">
        <f t="shared" si="8"/>
        <v>1619.9866500000003</v>
      </c>
      <c r="S13" s="139">
        <f t="shared" si="8"/>
        <v>1619.9866500000003</v>
      </c>
      <c r="T13" s="139">
        <f t="shared" si="8"/>
        <v>1619.9866500000003</v>
      </c>
      <c r="U13" s="139">
        <f t="shared" si="8"/>
        <v>1619.9866500000003</v>
      </c>
      <c r="V13" s="139">
        <f t="shared" si="8"/>
        <v>1619.9866500000003</v>
      </c>
      <c r="W13" s="139">
        <f t="shared" si="8"/>
        <v>1619.9866500000003</v>
      </c>
      <c r="X13" s="139">
        <f t="shared" si="8"/>
        <v>1619.9866500000003</v>
      </c>
      <c r="Y13" s="139">
        <f t="shared" si="8"/>
        <v>1619.9866500000003</v>
      </c>
      <c r="Z13" s="139">
        <f t="shared" si="8"/>
        <v>1619.9866500000003</v>
      </c>
      <c r="AA13" s="139">
        <f t="shared" si="8"/>
        <v>1619.9866500000003</v>
      </c>
      <c r="AB13" s="139">
        <f t="shared" si="8"/>
        <v>1619.9866500000003</v>
      </c>
      <c r="AC13" s="139">
        <f t="shared" si="8"/>
        <v>1619.9866500000003</v>
      </c>
      <c r="AD13" s="139">
        <f t="shared" si="8"/>
        <v>1619.9866500000003</v>
      </c>
      <c r="AE13" s="139">
        <f t="shared" si="8"/>
        <v>1619.9866500000003</v>
      </c>
      <c r="AF13" s="139">
        <f t="shared" si="8"/>
        <v>1619.9866500000003</v>
      </c>
      <c r="AG13" s="139">
        <f t="shared" si="8"/>
        <v>1619.9866500000003</v>
      </c>
      <c r="AH13" s="139">
        <f t="shared" si="8"/>
        <v>1619.9866500000003</v>
      </c>
      <c r="AI13" s="139">
        <f t="shared" si="8"/>
        <v>1619.9866500000003</v>
      </c>
      <c r="AJ13" s="140">
        <f t="shared" si="8"/>
        <v>1619.9866500000003</v>
      </c>
    </row>
    <row r="14" spans="1:36" x14ac:dyDescent="0.25">
      <c r="A14" s="221"/>
      <c r="B14" s="158" t="s">
        <v>94</v>
      </c>
      <c r="C14" s="224"/>
      <c r="D14" s="8" t="s">
        <v>87</v>
      </c>
      <c r="E14" s="26" t="s">
        <v>88</v>
      </c>
      <c r="F14" s="8">
        <f>[1]Pressure!$F$33</f>
        <v>35</v>
      </c>
      <c r="G14" s="48">
        <f>F14</f>
        <v>35</v>
      </c>
      <c r="H14" s="139">
        <f t="shared" si="8"/>
        <v>35</v>
      </c>
      <c r="I14" s="139">
        <f t="shared" si="8"/>
        <v>35</v>
      </c>
      <c r="J14" s="139">
        <f t="shared" si="8"/>
        <v>35</v>
      </c>
      <c r="K14" s="139">
        <f t="shared" si="8"/>
        <v>35</v>
      </c>
      <c r="L14" s="89">
        <f t="shared" si="8"/>
        <v>35</v>
      </c>
      <c r="M14" s="89">
        <f t="shared" si="8"/>
        <v>35</v>
      </c>
      <c r="N14" s="139">
        <f t="shared" si="8"/>
        <v>35</v>
      </c>
      <c r="O14" s="139">
        <f t="shared" si="8"/>
        <v>35</v>
      </c>
      <c r="P14" s="139">
        <f t="shared" si="8"/>
        <v>35</v>
      </c>
      <c r="Q14" s="139">
        <f t="shared" si="8"/>
        <v>35</v>
      </c>
      <c r="R14" s="139">
        <f t="shared" si="8"/>
        <v>35</v>
      </c>
      <c r="S14" s="139">
        <f t="shared" si="8"/>
        <v>35</v>
      </c>
      <c r="T14" s="139">
        <f t="shared" si="8"/>
        <v>35</v>
      </c>
      <c r="U14" s="139">
        <f t="shared" si="8"/>
        <v>35</v>
      </c>
      <c r="V14" s="139">
        <f t="shared" si="8"/>
        <v>35</v>
      </c>
      <c r="W14" s="139">
        <f t="shared" si="8"/>
        <v>35</v>
      </c>
      <c r="X14" s="139">
        <f t="shared" si="8"/>
        <v>35</v>
      </c>
      <c r="Y14" s="139">
        <f t="shared" si="8"/>
        <v>35</v>
      </c>
      <c r="Z14" s="139">
        <f t="shared" si="8"/>
        <v>35</v>
      </c>
      <c r="AA14" s="139">
        <f t="shared" si="8"/>
        <v>35</v>
      </c>
      <c r="AB14" s="139">
        <f t="shared" si="8"/>
        <v>35</v>
      </c>
      <c r="AC14" s="139">
        <f t="shared" si="8"/>
        <v>35</v>
      </c>
      <c r="AD14" s="139">
        <f t="shared" si="8"/>
        <v>35</v>
      </c>
      <c r="AE14" s="139">
        <f t="shared" si="8"/>
        <v>35</v>
      </c>
      <c r="AF14" s="139">
        <f t="shared" si="8"/>
        <v>35</v>
      </c>
      <c r="AG14" s="139">
        <f t="shared" si="8"/>
        <v>35</v>
      </c>
      <c r="AH14" s="139">
        <f t="shared" si="8"/>
        <v>35</v>
      </c>
      <c r="AI14" s="139">
        <f t="shared" si="8"/>
        <v>35</v>
      </c>
      <c r="AJ14" s="140">
        <f t="shared" si="8"/>
        <v>35</v>
      </c>
    </row>
    <row r="15" spans="1:36" ht="15.75" thickBot="1" x14ac:dyDescent="0.3">
      <c r="A15" s="222"/>
      <c r="B15" s="162" t="s">
        <v>95</v>
      </c>
      <c r="C15" s="225"/>
      <c r="D15" s="43" t="s">
        <v>89</v>
      </c>
      <c r="E15" s="25" t="s">
        <v>90</v>
      </c>
      <c r="F15" s="43">
        <v>0</v>
      </c>
      <c r="G15" s="142">
        <f>F15</f>
        <v>0</v>
      </c>
      <c r="H15" s="142">
        <f t="shared" si="8"/>
        <v>0</v>
      </c>
      <c r="I15" s="142">
        <f t="shared" si="8"/>
        <v>0</v>
      </c>
      <c r="J15" s="142">
        <f t="shared" si="8"/>
        <v>0</v>
      </c>
      <c r="K15" s="142">
        <f t="shared" si="8"/>
        <v>0</v>
      </c>
      <c r="L15" s="142">
        <f t="shared" si="8"/>
        <v>0</v>
      </c>
      <c r="M15" s="142">
        <f t="shared" si="8"/>
        <v>0</v>
      </c>
      <c r="N15" s="142">
        <f t="shared" si="8"/>
        <v>0</v>
      </c>
      <c r="O15" s="142">
        <f t="shared" si="8"/>
        <v>0</v>
      </c>
      <c r="P15" s="142">
        <f t="shared" si="8"/>
        <v>0</v>
      </c>
      <c r="Q15" s="142">
        <f t="shared" si="8"/>
        <v>0</v>
      </c>
      <c r="R15" s="142">
        <f t="shared" si="8"/>
        <v>0</v>
      </c>
      <c r="S15" s="142">
        <f t="shared" si="8"/>
        <v>0</v>
      </c>
      <c r="T15" s="142">
        <f t="shared" si="8"/>
        <v>0</v>
      </c>
      <c r="U15" s="142">
        <f t="shared" si="8"/>
        <v>0</v>
      </c>
      <c r="V15" s="142">
        <f t="shared" si="8"/>
        <v>0</v>
      </c>
      <c r="W15" s="142">
        <f t="shared" si="8"/>
        <v>0</v>
      </c>
      <c r="X15" s="142">
        <f t="shared" si="8"/>
        <v>0</v>
      </c>
      <c r="Y15" s="142">
        <f t="shared" si="8"/>
        <v>0</v>
      </c>
      <c r="Z15" s="142">
        <f t="shared" si="8"/>
        <v>0</v>
      </c>
      <c r="AA15" s="142">
        <f t="shared" si="8"/>
        <v>0</v>
      </c>
      <c r="AB15" s="142">
        <f t="shared" si="8"/>
        <v>0</v>
      </c>
      <c r="AC15" s="142">
        <f t="shared" si="8"/>
        <v>0</v>
      </c>
      <c r="AD15" s="142">
        <f t="shared" si="8"/>
        <v>0</v>
      </c>
      <c r="AE15" s="142">
        <f t="shared" si="8"/>
        <v>0</v>
      </c>
      <c r="AF15" s="142">
        <f t="shared" si="8"/>
        <v>0</v>
      </c>
      <c r="AG15" s="142">
        <f t="shared" si="8"/>
        <v>0</v>
      </c>
      <c r="AH15" s="142">
        <f t="shared" si="8"/>
        <v>0</v>
      </c>
      <c r="AI15" s="142">
        <f t="shared" si="8"/>
        <v>0</v>
      </c>
      <c r="AJ15" s="142">
        <f t="shared" si="8"/>
        <v>0</v>
      </c>
    </row>
    <row r="17" spans="3:12" x14ac:dyDescent="0.25">
      <c r="C17" s="134"/>
      <c r="E17"/>
    </row>
    <row r="21" spans="3:12" x14ac:dyDescent="0.25">
      <c r="L21" t="s">
        <v>101</v>
      </c>
    </row>
  </sheetData>
  <mergeCells count="5">
    <mergeCell ref="C3:C11"/>
    <mergeCell ref="A2:A15"/>
    <mergeCell ref="B2:D2"/>
    <mergeCell ref="C12:C15"/>
    <mergeCell ref="B1:AJ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</sheetPr>
  <dimension ref="A2:AP12"/>
  <sheetViews>
    <sheetView workbookViewId="0">
      <selection activeCell="F24" sqref="F24"/>
    </sheetView>
  </sheetViews>
  <sheetFormatPr defaultRowHeight="15" x14ac:dyDescent="0.25"/>
  <cols>
    <col min="1" max="1" width="47.140625" bestFit="1" customWidth="1"/>
    <col min="3" max="3" width="11.7109375" bestFit="1" customWidth="1"/>
  </cols>
  <sheetData>
    <row r="2" spans="1:42" x14ac:dyDescent="0.25">
      <c r="A2" s="71" t="s">
        <v>36</v>
      </c>
    </row>
    <row r="4" spans="1:42" x14ac:dyDescent="0.25">
      <c r="C4" s="72">
        <v>2014</v>
      </c>
      <c r="D4" s="72">
        <v>2015</v>
      </c>
      <c r="E4" s="72">
        <v>2016</v>
      </c>
      <c r="F4" s="72">
        <v>2017</v>
      </c>
      <c r="G4" s="72">
        <v>2018</v>
      </c>
      <c r="H4" s="72">
        <v>2019</v>
      </c>
      <c r="I4" s="72">
        <v>2020</v>
      </c>
      <c r="J4" s="72">
        <v>2021</v>
      </c>
      <c r="K4" s="72">
        <v>2022</v>
      </c>
      <c r="L4" s="72">
        <v>2023</v>
      </c>
      <c r="M4" s="72">
        <v>2024</v>
      </c>
      <c r="N4" s="72">
        <v>2025</v>
      </c>
      <c r="O4" s="72">
        <v>2026</v>
      </c>
      <c r="P4" s="72">
        <v>2027</v>
      </c>
      <c r="Q4" s="72">
        <v>2028</v>
      </c>
      <c r="R4" s="72">
        <v>2029</v>
      </c>
      <c r="S4" s="72">
        <v>2030</v>
      </c>
      <c r="T4" s="72">
        <v>2031</v>
      </c>
      <c r="U4" s="72">
        <v>2032</v>
      </c>
      <c r="V4" s="72">
        <v>2033</v>
      </c>
      <c r="W4" s="72">
        <v>2034</v>
      </c>
      <c r="X4" s="72">
        <v>2035</v>
      </c>
      <c r="Y4" s="72">
        <v>2036</v>
      </c>
      <c r="Z4" s="72">
        <v>2037</v>
      </c>
      <c r="AA4" s="72">
        <v>2038</v>
      </c>
      <c r="AB4" s="72">
        <v>2039</v>
      </c>
      <c r="AC4" s="72">
        <v>2040</v>
      </c>
      <c r="AD4" s="72">
        <v>2041</v>
      </c>
      <c r="AE4" s="72">
        <v>2042</v>
      </c>
      <c r="AF4" s="72">
        <v>2043</v>
      </c>
      <c r="AG4" s="72">
        <v>2044</v>
      </c>
      <c r="AH4" s="72">
        <v>2045</v>
      </c>
      <c r="AI4" s="72">
        <v>2046</v>
      </c>
      <c r="AJ4" s="72">
        <v>2047</v>
      </c>
      <c r="AK4" s="72">
        <v>2048</v>
      </c>
      <c r="AL4" s="72">
        <v>2049</v>
      </c>
      <c r="AM4" s="72">
        <v>2050</v>
      </c>
    </row>
    <row r="5" spans="1:42" s="73" customFormat="1" ht="14.25" customHeight="1" x14ac:dyDescent="0.2">
      <c r="A5" s="73" t="s">
        <v>37</v>
      </c>
      <c r="B5" s="74" t="s">
        <v>2</v>
      </c>
      <c r="C5" s="75">
        <v>3.1E-2</v>
      </c>
      <c r="D5" s="75">
        <v>3.7999999999999999E-2</v>
      </c>
      <c r="E5" s="75">
        <v>4.8000000000000001E-2</v>
      </c>
      <c r="F5" s="75">
        <v>7.0000000000000007E-2</v>
      </c>
      <c r="G5" s="75">
        <v>4.1000000000000002E-2</v>
      </c>
      <c r="H5" s="75">
        <v>5.5E-2</v>
      </c>
      <c r="I5" s="75">
        <v>5.7000000000000002E-2</v>
      </c>
      <c r="J5" s="76">
        <v>0.05</v>
      </c>
      <c r="K5" s="76">
        <v>0.05</v>
      </c>
      <c r="L5" s="75">
        <v>3.5000000000000003E-2</v>
      </c>
      <c r="M5" s="75">
        <f t="shared" ref="M5:AM5" si="0">L5</f>
        <v>3.5000000000000003E-2</v>
      </c>
      <c r="N5" s="75">
        <f t="shared" si="0"/>
        <v>3.5000000000000003E-2</v>
      </c>
      <c r="O5" s="75">
        <f t="shared" si="0"/>
        <v>3.5000000000000003E-2</v>
      </c>
      <c r="P5" s="75">
        <f t="shared" si="0"/>
        <v>3.5000000000000003E-2</v>
      </c>
      <c r="Q5" s="75">
        <f t="shared" si="0"/>
        <v>3.5000000000000003E-2</v>
      </c>
      <c r="R5" s="75">
        <f t="shared" si="0"/>
        <v>3.5000000000000003E-2</v>
      </c>
      <c r="S5" s="75">
        <f t="shared" si="0"/>
        <v>3.5000000000000003E-2</v>
      </c>
      <c r="T5" s="75">
        <f t="shared" si="0"/>
        <v>3.5000000000000003E-2</v>
      </c>
      <c r="U5" s="75">
        <f t="shared" si="0"/>
        <v>3.5000000000000003E-2</v>
      </c>
      <c r="V5" s="75">
        <f t="shared" si="0"/>
        <v>3.5000000000000003E-2</v>
      </c>
      <c r="W5" s="75">
        <f t="shared" si="0"/>
        <v>3.5000000000000003E-2</v>
      </c>
      <c r="X5" s="75">
        <f t="shared" si="0"/>
        <v>3.5000000000000003E-2</v>
      </c>
      <c r="Y5" s="75">
        <f t="shared" si="0"/>
        <v>3.5000000000000003E-2</v>
      </c>
      <c r="Z5" s="75">
        <f t="shared" si="0"/>
        <v>3.5000000000000003E-2</v>
      </c>
      <c r="AA5" s="75">
        <f t="shared" si="0"/>
        <v>3.5000000000000003E-2</v>
      </c>
      <c r="AB5" s="75">
        <f t="shared" si="0"/>
        <v>3.5000000000000003E-2</v>
      </c>
      <c r="AC5" s="75">
        <f t="shared" si="0"/>
        <v>3.5000000000000003E-2</v>
      </c>
      <c r="AD5" s="75">
        <f t="shared" si="0"/>
        <v>3.5000000000000003E-2</v>
      </c>
      <c r="AE5" s="75">
        <f t="shared" si="0"/>
        <v>3.5000000000000003E-2</v>
      </c>
      <c r="AF5" s="75">
        <f t="shared" si="0"/>
        <v>3.5000000000000003E-2</v>
      </c>
      <c r="AG5" s="75">
        <f t="shared" si="0"/>
        <v>3.5000000000000003E-2</v>
      </c>
      <c r="AH5" s="75">
        <f t="shared" si="0"/>
        <v>3.5000000000000003E-2</v>
      </c>
      <c r="AI5" s="75">
        <f t="shared" si="0"/>
        <v>3.5000000000000003E-2</v>
      </c>
      <c r="AJ5" s="75">
        <f t="shared" si="0"/>
        <v>3.5000000000000003E-2</v>
      </c>
      <c r="AK5" s="75">
        <f t="shared" si="0"/>
        <v>3.5000000000000003E-2</v>
      </c>
      <c r="AL5" s="75">
        <f t="shared" si="0"/>
        <v>3.5000000000000003E-2</v>
      </c>
      <c r="AM5" s="75">
        <f t="shared" si="0"/>
        <v>3.5000000000000003E-2</v>
      </c>
      <c r="AN5" s="75">
        <f>AM5</f>
        <v>3.5000000000000003E-2</v>
      </c>
      <c r="AO5" s="75">
        <f>AN5</f>
        <v>3.5000000000000003E-2</v>
      </c>
      <c r="AP5" s="75">
        <f>AO5</f>
        <v>3.5000000000000003E-2</v>
      </c>
    </row>
    <row r="7" spans="1:42" x14ac:dyDescent="0.25">
      <c r="A7" s="77" t="s">
        <v>38</v>
      </c>
      <c r="B7" s="78" t="s">
        <v>29</v>
      </c>
      <c r="C7" s="79">
        <v>0.25</v>
      </c>
    </row>
    <row r="8" spans="1:42" x14ac:dyDescent="0.25">
      <c r="A8" s="77" t="s">
        <v>39</v>
      </c>
      <c r="B8" s="78" t="s">
        <v>29</v>
      </c>
      <c r="C8" s="79">
        <v>-0.2</v>
      </c>
    </row>
    <row r="10" spans="1:42" x14ac:dyDescent="0.25">
      <c r="A10" s="80" t="s">
        <v>40</v>
      </c>
      <c r="B10" s="81" t="s">
        <v>41</v>
      </c>
      <c r="E10" s="80">
        <v>-2.5104961354764695E-2</v>
      </c>
      <c r="F10" s="80">
        <v>1.8285087719298227E-2</v>
      </c>
      <c r="G10" s="80">
        <v>1.8285087719298227E-2</v>
      </c>
      <c r="H10" s="80">
        <v>-7.4898921832884362E-3</v>
      </c>
      <c r="I10" s="80">
        <v>-1.9749999999999997E-2</v>
      </c>
      <c r="J10" s="80">
        <v>-1.5749999999999965E-2</v>
      </c>
      <c r="K10" s="80">
        <v>-1.7499999999999988E-2</v>
      </c>
      <c r="L10" s="80">
        <v>-3.585E-2</v>
      </c>
      <c r="M10" s="80">
        <v>2.3391968727789463E-3</v>
      </c>
      <c r="N10" s="80">
        <v>3.3843743543833056E-3</v>
      </c>
      <c r="O10" s="80">
        <v>4.4774673497167215E-3</v>
      </c>
      <c r="P10" s="80">
        <v>4.7499999999999834E-3</v>
      </c>
      <c r="Q10" s="80">
        <v>4.3499999999999962E-3</v>
      </c>
      <c r="R10" s="80">
        <v>4.3500000000000179E-3</v>
      </c>
      <c r="S10" s="80">
        <v>4.1500000000000183E-3</v>
      </c>
      <c r="T10" s="80">
        <v>3.9499999999999978E-3</v>
      </c>
      <c r="U10" s="80">
        <v>3.9499999999999926E-3</v>
      </c>
      <c r="V10" s="80">
        <v>3.9500000000000013E-3</v>
      </c>
      <c r="W10" s="80">
        <v>3.9499999999999856E-3</v>
      </c>
      <c r="X10" s="80">
        <v>3.9500000000000151E-3</v>
      </c>
      <c r="Y10" s="80">
        <v>3.9500000000000013E-3</v>
      </c>
      <c r="Z10" s="80">
        <v>3.9499999999999969E-3</v>
      </c>
      <c r="AA10" s="80">
        <v>3.9499999999999856E-3</v>
      </c>
      <c r="AB10" s="80">
        <v>3.950000000000016E-3</v>
      </c>
      <c r="AC10" s="80">
        <v>3.950000000000003E-3</v>
      </c>
      <c r="AD10" s="80">
        <v>3.9499999999999891E-3</v>
      </c>
      <c r="AE10" s="80">
        <v>3.94999999999999E-3</v>
      </c>
      <c r="AF10" s="80">
        <v>3.9499999999999969E-3</v>
      </c>
      <c r="AG10" s="80">
        <v>3.9499999999999735E-3</v>
      </c>
      <c r="AH10" s="80">
        <v>3.9500000000000056E-3</v>
      </c>
      <c r="AI10" s="80">
        <v>3.950000000000016E-3</v>
      </c>
      <c r="AJ10" s="80">
        <v>3.9499999999999778E-3</v>
      </c>
      <c r="AK10" s="80">
        <v>3.7500000000000267E-3</v>
      </c>
      <c r="AL10" s="80">
        <v>3.7500000000000189E-3</v>
      </c>
      <c r="AM10" s="80">
        <v>3.7499999999999964E-3</v>
      </c>
      <c r="AN10" s="80">
        <v>3.7500000000000103E-3</v>
      </c>
      <c r="AO10" s="80">
        <v>3.7500000000000181E-3</v>
      </c>
      <c r="AP10" s="80">
        <v>3.7500000000000198E-3</v>
      </c>
    </row>
    <row r="11" spans="1:42" x14ac:dyDescent="0.25">
      <c r="A11" s="80" t="s">
        <v>42</v>
      </c>
      <c r="B11" s="81" t="s">
        <v>41</v>
      </c>
      <c r="E11" s="80">
        <v>9.2797190648075019E-3</v>
      </c>
      <c r="F11" s="80">
        <v>1.7500000000000002E-2</v>
      </c>
      <c r="G11" s="80">
        <v>1.025E-2</v>
      </c>
      <c r="H11" s="80">
        <v>1.375E-2</v>
      </c>
      <c r="I11" s="80">
        <v>-1.4987569060773498E-2</v>
      </c>
      <c r="J11" s="80">
        <v>3.7611587775956846E-3</v>
      </c>
      <c r="K11" s="80">
        <v>-1.9394797824544816E-2</v>
      </c>
      <c r="L11" s="80">
        <v>-1.7223253809003063E-3</v>
      </c>
      <c r="M11" s="80">
        <v>6.1307330025708179E-4</v>
      </c>
      <c r="N11" s="80">
        <v>2.8775132503987078E-3</v>
      </c>
      <c r="O11" s="80">
        <v>2.8767615925469198E-3</v>
      </c>
      <c r="P11" s="80">
        <v>2.8760104694924207E-3</v>
      </c>
      <c r="Q11" s="80">
        <v>2.6346024005419006E-3</v>
      </c>
      <c r="R11" s="80">
        <v>2.874604369193459E-3</v>
      </c>
      <c r="S11" s="80">
        <v>2.9548185143011057E-3</v>
      </c>
      <c r="T11" s="80">
        <v>2.9536477362340939E-3</v>
      </c>
      <c r="U11" s="80">
        <v>2.9927258599121362E-3</v>
      </c>
      <c r="V11" s="80">
        <v>2.9511923724975494E-3</v>
      </c>
      <c r="W11" s="80">
        <v>2.9900275364279751E-3</v>
      </c>
      <c r="X11" s="80">
        <v>2.9646916362897173E-3</v>
      </c>
      <c r="Y11" s="80">
        <v>2.8475303229748708E-3</v>
      </c>
      <c r="Z11" s="80">
        <v>2.8860038661907769E-3</v>
      </c>
      <c r="AA11" s="80">
        <v>2.8687940260822848E-3</v>
      </c>
      <c r="AB11" s="80">
        <v>2.8674897145493424E-3</v>
      </c>
      <c r="AC11" s="80">
        <v>2.881891991914149E-3</v>
      </c>
      <c r="AD11" s="80">
        <v>2.9196258515748683E-3</v>
      </c>
      <c r="AE11" s="80">
        <v>2.8789628001218296E-3</v>
      </c>
      <c r="AF11" s="80">
        <v>2.7542428895536934E-3</v>
      </c>
      <c r="AG11" s="80">
        <v>2.7529952896274109E-3</v>
      </c>
      <c r="AH11" s="80">
        <v>2.7981047731426316E-3</v>
      </c>
      <c r="AI11" s="80">
        <v>2.7734581336559478E-3</v>
      </c>
      <c r="AJ11" s="80">
        <v>2.6336975099284215E-3</v>
      </c>
      <c r="AK11" s="80">
        <v>2.4942952042315064E-3</v>
      </c>
      <c r="AL11" s="80">
        <v>2.4170636782110556E-3</v>
      </c>
      <c r="AM11" s="80">
        <v>2.4698039769544084E-3</v>
      </c>
      <c r="AN11" s="80">
        <v>2.4689974974174932E-3</v>
      </c>
      <c r="AO11" s="80">
        <v>2.4530398168024657E-3</v>
      </c>
      <c r="AP11" s="80">
        <v>2.5776562784975057E-3</v>
      </c>
    </row>
    <row r="12" spans="1:42" x14ac:dyDescent="0.25">
      <c r="A12" s="80" t="s">
        <v>43</v>
      </c>
      <c r="B12" s="81" t="s">
        <v>41</v>
      </c>
      <c r="E12" s="80">
        <v>2.1206932099590309E-3</v>
      </c>
      <c r="F12" s="80">
        <v>1.0749999999999989E-2</v>
      </c>
      <c r="G12" s="80">
        <v>1.1249999999999989E-2</v>
      </c>
      <c r="H12" s="80">
        <v>-2.4999999999999328E-4</v>
      </c>
      <c r="I12" s="80">
        <v>-2.7000000000000079E-3</v>
      </c>
      <c r="J12" s="80">
        <v>1.8000000000000099E-3</v>
      </c>
      <c r="K12" s="80">
        <v>-2.3249999999999979E-2</v>
      </c>
      <c r="L12" s="80">
        <v>-3.0899999999999886E-3</v>
      </c>
      <c r="M12" s="80">
        <v>4.950000000000029E-3</v>
      </c>
      <c r="N12" s="80">
        <v>4.9500000000000169E-3</v>
      </c>
      <c r="O12" s="80">
        <v>4.9300000000000038E-3</v>
      </c>
      <c r="P12" s="80">
        <v>4.9500000000000256E-3</v>
      </c>
      <c r="Q12" s="80">
        <v>4.9500000000000308E-3</v>
      </c>
      <c r="R12" s="80">
        <v>4.9500000000000065E-3</v>
      </c>
      <c r="S12" s="80">
        <v>4.9500000000000247E-3</v>
      </c>
      <c r="T12" s="80">
        <v>4.9300000000000246E-3</v>
      </c>
      <c r="U12" s="80">
        <v>4.9099999999999769E-3</v>
      </c>
      <c r="V12" s="80">
        <v>4.8499999999999906E-3</v>
      </c>
      <c r="W12" s="80">
        <v>4.5500000000000254E-3</v>
      </c>
      <c r="X12" s="80">
        <v>4.4500000000000043E-3</v>
      </c>
      <c r="Y12" s="80">
        <v>4.2500000000000029E-3</v>
      </c>
      <c r="Z12" s="80">
        <v>3.9499999999999995E-3</v>
      </c>
      <c r="AA12" s="80">
        <v>3.7500000000000181E-3</v>
      </c>
      <c r="AB12" s="80">
        <v>3.7500000000000294E-3</v>
      </c>
      <c r="AC12" s="80">
        <v>3.5499999999999803E-3</v>
      </c>
      <c r="AD12" s="80">
        <v>3.5499999999999933E-3</v>
      </c>
      <c r="AE12" s="80">
        <v>3.3500000000000196E-3</v>
      </c>
      <c r="AF12" s="80">
        <v>3.2499999999999751E-3</v>
      </c>
      <c r="AG12" s="80">
        <v>3.249999999999976E-3</v>
      </c>
      <c r="AH12" s="80">
        <v>2.9500000000000012E-3</v>
      </c>
      <c r="AI12" s="80">
        <v>2.7499999999999886E-3</v>
      </c>
      <c r="AJ12" s="80">
        <v>2.350000000000004E-3</v>
      </c>
      <c r="AK12" s="80">
        <v>1.750000000000018E-3</v>
      </c>
      <c r="AL12" s="80">
        <v>9.5000000000000813E-4</v>
      </c>
      <c r="AM12" s="80">
        <v>1.3500000000000014E-3</v>
      </c>
      <c r="AN12" s="80">
        <v>1.3500000000000014E-3</v>
      </c>
      <c r="AO12" s="80">
        <v>1.32E-3</v>
      </c>
      <c r="AP12" s="80">
        <v>1.3699999999999999E-3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H35" sqref="H35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02703EF26E6D4E977A1588C092D7CF" ma:contentTypeVersion="8" ma:contentTypeDescription="Create a new document." ma:contentTypeScope="" ma:versionID="5c3bf62fb088b932dfe711672233914c">
  <xsd:schema xmlns:xsd="http://www.w3.org/2001/XMLSchema" xmlns:xs="http://www.w3.org/2001/XMLSchema" xmlns:p="http://schemas.microsoft.com/office/2006/metadata/properties" xmlns:ns2="65f635d2-82ea-4d78-897f-ada8f4f641e5" targetNamespace="http://schemas.microsoft.com/office/2006/metadata/properties" ma:root="true" ma:fieldsID="6f3f24496ff13eaba71698c08ebaad7c" ns2:_="">
    <xsd:import namespace="65f635d2-82ea-4d78-897f-ada8f4f641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635d2-82ea-4d78-897f-ada8f4f641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ECD70B3-F478-41AC-AC3A-30A156EDDEAE}"/>
</file>

<file path=customXml/itemProps2.xml><?xml version="1.0" encoding="utf-8"?>
<ds:datastoreItem xmlns:ds="http://schemas.openxmlformats.org/officeDocument/2006/customXml" ds:itemID="{14B9B196-A05C-484B-ACEA-01F17041EE75}"/>
</file>

<file path=customXml/itemProps3.xml><?xml version="1.0" encoding="utf-8"?>
<ds:datastoreItem xmlns:ds="http://schemas.openxmlformats.org/officeDocument/2006/customXml" ds:itemID="{FFD259C6-C548-4703-8ABC-57A3E10BA7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Prognoza Apa</vt:lpstr>
      <vt:lpstr>Prognoza BA</vt:lpstr>
      <vt:lpstr>IP</vt:lpstr>
      <vt:lpstr>PIB + FE</vt:lpstr>
      <vt:lpstr>Foaie1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Aldea</dc:creator>
  <cp:lastModifiedBy>Aldea Alexandru</cp:lastModifiedBy>
  <dcterms:created xsi:type="dcterms:W3CDTF">2012-04-17T10:41:51Z</dcterms:created>
  <dcterms:modified xsi:type="dcterms:W3CDTF">2020-04-27T05:52:15Z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0x010100C202703EF26E6D4E977A1588C092D7CF</vt:lpwstr>
  </property>
</Properties>
</file>