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terplan Predare\Master Plan Covasna\Anexe\Anexa G - Detalii financiare\"/>
    </mc:Choice>
  </mc:AlternateContent>
  <xr:revisionPtr revIDLastSave="0" documentId="13_ncr:1_{9E27E34A-AC2D-4B6E-9ACD-068F4EFC0799}" xr6:coauthVersionLast="45" xr6:coauthVersionMax="45" xr10:uidLastSave="{00000000-0000-0000-0000-000000000000}"/>
  <workbookProtection workbookPassword="E26F" lockStructure="1"/>
  <bookViews>
    <workbookView xWindow="-120" yWindow="-120" windowWidth="29040" windowHeight="15840" firstSheet="3" activeTab="6" xr2:uid="{00000000-000D-0000-FFFF-FFFF00000000}"/>
  </bookViews>
  <sheets>
    <sheet name="Ipoteze" sheetId="4" state="hidden" r:id="rId1"/>
    <sheet name="Indice Inflatie-COVASNA" sheetId="17" state="hidden" r:id="rId2"/>
    <sheet name="7.3.1" sheetId="16" state="hidden" r:id="rId3"/>
    <sheet name="prognoze cantitati" sheetId="3" r:id="rId4"/>
    <sheet name="6,3,1" sheetId="9" state="hidden" r:id="rId5"/>
    <sheet name="Investitii-constante" sheetId="8" r:id="rId6"/>
    <sheet name="Investitii-curente" sheetId="18" r:id="rId7"/>
    <sheet name="Investitii-curente-old" sheetId="11" state="hidden" r:id="rId8"/>
    <sheet name="O&amp;M costs-old" sheetId="7" state="hidden" r:id="rId9"/>
    <sheet name="DPC" sheetId="5" r:id="rId10"/>
    <sheet name="DPC_rur" sheetId="14" state="hidden" r:id="rId11"/>
    <sheet name="DPC_urb" sheetId="15" state="hidden" r:id="rId12"/>
    <sheet name="O&amp;M costs " sheetId="13" r:id="rId13"/>
    <sheet name="Sheet1" sheetId="19" state="hidden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AROSTENT" localSheetId="10" hidden="1">#REF!</definedName>
    <definedName name="__123Graph_AROSTENT" localSheetId="11" hidden="1">#REF!</definedName>
    <definedName name="__123Graph_AROSTENT" localSheetId="6" hidden="1">#REF!</definedName>
    <definedName name="__123Graph_AROSTENT" localSheetId="7" hidden="1">#REF!</definedName>
    <definedName name="__123Graph_AROSTENT" localSheetId="12" hidden="1">#REF!</definedName>
    <definedName name="__123Graph_AROSTENT" localSheetId="8" hidden="1">#REF!</definedName>
    <definedName name="__123Graph_AROSTENT" hidden="1">#REF!</definedName>
    <definedName name="__123Graph_AROSTSPEZ" localSheetId="10" hidden="1">#REF!</definedName>
    <definedName name="__123Graph_AROSTSPEZ" localSheetId="11" hidden="1">#REF!</definedName>
    <definedName name="__123Graph_AROSTSPEZ" localSheetId="6" hidden="1">#REF!</definedName>
    <definedName name="__123Graph_AROSTSPEZ" localSheetId="7" hidden="1">#REF!</definedName>
    <definedName name="__123Graph_AROSTSPEZ" localSheetId="12" hidden="1">#REF!</definedName>
    <definedName name="__123Graph_AROSTSPEZ" localSheetId="8" hidden="1">#REF!</definedName>
    <definedName name="__123Graph_AROSTSPEZ" hidden="1">#REF!</definedName>
    <definedName name="__123Graph_BROSTENT" localSheetId="10" hidden="1">#REF!</definedName>
    <definedName name="__123Graph_BROSTENT" localSheetId="11" hidden="1">#REF!</definedName>
    <definedName name="__123Graph_BROSTENT" localSheetId="6" hidden="1">#REF!</definedName>
    <definedName name="__123Graph_BROSTENT" localSheetId="7" hidden="1">#REF!</definedName>
    <definedName name="__123Graph_BROSTENT" localSheetId="12" hidden="1">#REF!</definedName>
    <definedName name="__123Graph_BROSTENT" localSheetId="8" hidden="1">#REF!</definedName>
    <definedName name="__123Graph_BROSTENT" hidden="1">#REF!</definedName>
    <definedName name="__123Graph_BROSTSPEZ" localSheetId="10" hidden="1">#REF!</definedName>
    <definedName name="__123Graph_BROSTSPEZ" localSheetId="11" hidden="1">#REF!</definedName>
    <definedName name="__123Graph_BROSTSPEZ" localSheetId="6" hidden="1">#REF!</definedName>
    <definedName name="__123Graph_BROSTSPEZ" localSheetId="7" hidden="1">#REF!</definedName>
    <definedName name="__123Graph_BROSTSPEZ" localSheetId="12" hidden="1">#REF!</definedName>
    <definedName name="__123Graph_BROSTSPEZ" localSheetId="8" hidden="1">#REF!</definedName>
    <definedName name="__123Graph_BROSTSPEZ" hidden="1">#REF!</definedName>
    <definedName name="__123Graph_CROSTENT" localSheetId="10" hidden="1">#REF!</definedName>
    <definedName name="__123Graph_CROSTENT" localSheetId="11" hidden="1">#REF!</definedName>
    <definedName name="__123Graph_CROSTENT" localSheetId="6" hidden="1">#REF!</definedName>
    <definedName name="__123Graph_CROSTENT" localSheetId="7" hidden="1">#REF!</definedName>
    <definedName name="__123Graph_CROSTENT" localSheetId="12" hidden="1">#REF!</definedName>
    <definedName name="__123Graph_CROSTENT" localSheetId="8" hidden="1">#REF!</definedName>
    <definedName name="__123Graph_CROSTENT" hidden="1">#REF!</definedName>
    <definedName name="__123Graph_CROSTSPEZ" localSheetId="10" hidden="1">#REF!</definedName>
    <definedName name="__123Graph_CROSTSPEZ" localSheetId="11" hidden="1">#REF!</definedName>
    <definedName name="__123Graph_CROSTSPEZ" localSheetId="6" hidden="1">#REF!</definedName>
    <definedName name="__123Graph_CROSTSPEZ" localSheetId="7" hidden="1">#REF!</definedName>
    <definedName name="__123Graph_CROSTSPEZ" localSheetId="12" hidden="1">#REF!</definedName>
    <definedName name="__123Graph_CROSTSPEZ" localSheetId="8" hidden="1">#REF!</definedName>
    <definedName name="__123Graph_CROSTSPEZ" hidden="1">#REF!</definedName>
    <definedName name="__123Graph_XROSTENT" localSheetId="10" hidden="1">#REF!</definedName>
    <definedName name="__123Graph_XROSTENT" localSheetId="11" hidden="1">#REF!</definedName>
    <definedName name="__123Graph_XROSTENT" localSheetId="6" hidden="1">#REF!</definedName>
    <definedName name="__123Graph_XROSTENT" localSheetId="7" hidden="1">#REF!</definedName>
    <definedName name="__123Graph_XROSTENT" localSheetId="12" hidden="1">#REF!</definedName>
    <definedName name="__123Graph_XROSTENT" localSheetId="8" hidden="1">#REF!</definedName>
    <definedName name="__123Graph_XROSTENT" hidden="1">#REF!</definedName>
    <definedName name="_123" localSheetId="10" hidden="1">#REF!</definedName>
    <definedName name="_123" localSheetId="11" hidden="1">#REF!</definedName>
    <definedName name="_123" localSheetId="6" hidden="1">#REF!</definedName>
    <definedName name="_123" hidden="1">#REF!</definedName>
    <definedName name="_1234" localSheetId="10" hidden="1">#REF!</definedName>
    <definedName name="_1234" localSheetId="11" hidden="1">#REF!</definedName>
    <definedName name="_1234" localSheetId="6" hidden="1">#REF!</definedName>
    <definedName name="_1234" hidden="1">#REF!</definedName>
    <definedName name="_12345" localSheetId="10" hidden="1">#REF!</definedName>
    <definedName name="_12345" localSheetId="11" hidden="1">#REF!</definedName>
    <definedName name="_12345" localSheetId="6" hidden="1">#REF!</definedName>
    <definedName name="_12345" hidden="1">#REF!</definedName>
    <definedName name="_in" localSheetId="10">'[1]Prognoza deseuri ambalaje'!#REF!</definedName>
    <definedName name="_in" localSheetId="11">'[1]Prognoza deseuri ambalaje'!#REF!</definedName>
    <definedName name="_in" localSheetId="6">'[1]Prognoza deseuri ambalaje'!#REF!</definedName>
    <definedName name="_in">'[1]Prognoza deseuri ambalaje'!#REF!</definedName>
    <definedName name="_ind1" localSheetId="10">'[1]Prognoza deseuri ambalaje'!#REF!</definedName>
    <definedName name="_ind1" localSheetId="11">'[1]Prognoza deseuri ambalaje'!#REF!</definedName>
    <definedName name="_ind1" localSheetId="6">'[1]Prognoza deseuri ambalaje'!#REF!</definedName>
    <definedName name="_ind1" localSheetId="7">'[1]Prognoza deseuri ambalaje'!#REF!</definedName>
    <definedName name="_ind1" localSheetId="12">'[1]Prognoza deseuri ambalaje'!#REF!</definedName>
    <definedName name="_ind1" localSheetId="8">'[1]Prognoza deseuri ambalaje'!#REF!</definedName>
    <definedName name="_ind1">'[1]Prognoza deseuri ambalaje'!#REF!</definedName>
    <definedName name="alte_rur_2008">'[2]Mass Z1 Craiova'!$F$132</definedName>
    <definedName name="alte_rur_2013">'[2]Mass Z1 Craiova'!$J$132</definedName>
    <definedName name="alte_rur_2019">'[2]Mass Z1 Craiova'!$N$132</definedName>
    <definedName name="baseEcoCostsB">[3]Calculation!$G$163</definedName>
    <definedName name="baseFNPVK" localSheetId="10">[4]EconomicBenefits!#REF!</definedName>
    <definedName name="baseFNPVK" localSheetId="11">[4]EconomicBenefits!#REF!</definedName>
    <definedName name="baseFNPVK" localSheetId="6">[4]EconomicBenefits!#REF!</definedName>
    <definedName name="baseFNPVK" localSheetId="7">[4]EconomicBenefits!#REF!</definedName>
    <definedName name="baseFNPVK" localSheetId="12">[4]EconomicBenefits!#REF!</definedName>
    <definedName name="baseFNPVK" localSheetId="8">[4]EconomicBenefits!#REF!</definedName>
    <definedName name="baseFNPVK">[4]EconomicBenefits!#REF!</definedName>
    <definedName name="baseR" localSheetId="10">[4]EconomicBenefits!#REF!</definedName>
    <definedName name="baseR" localSheetId="11">[4]EconomicBenefits!#REF!</definedName>
    <definedName name="baseR" localSheetId="6">[4]EconomicBenefits!#REF!</definedName>
    <definedName name="baseR">[4]EconomicBenefits!#REF!</definedName>
    <definedName name="baseRevenues" localSheetId="10">[4]EconomicBenefits!#REF!</definedName>
    <definedName name="baseRevenues" localSheetId="11">[4]EconomicBenefits!#REF!</definedName>
    <definedName name="baseRevenues" localSheetId="6">[4]EconomicBenefits!#REF!</definedName>
    <definedName name="baseRevenues" localSheetId="7">[4]EconomicBenefits!#REF!</definedName>
    <definedName name="baseRevenues" localSheetId="12">[4]EconomicBenefits!#REF!</definedName>
    <definedName name="baseRevenues" localSheetId="8">[4]EconomicBenefits!#REF!</definedName>
    <definedName name="baseRevenues">[4]EconomicBenefits!#REF!</definedName>
    <definedName name="BASET" localSheetId="10">[4]EconomicBenefits!#REF!</definedName>
    <definedName name="BASET" localSheetId="11">[4]EconomicBenefits!#REF!</definedName>
    <definedName name="BASET" localSheetId="6">[4]EconomicBenefits!#REF!</definedName>
    <definedName name="BASET">[4]EconomicBenefits!#REF!</definedName>
    <definedName name="baseTaxShieldDepreciation" localSheetId="10">[4]EconomicBenefits!#REF!</definedName>
    <definedName name="baseTaxShieldDepreciation" localSheetId="11">[4]EconomicBenefits!#REF!</definedName>
    <definedName name="baseTaxShieldDepreciation" localSheetId="6">[4]EconomicBenefits!#REF!</definedName>
    <definedName name="baseTaxShieldDepreciation" localSheetId="7">[4]EconomicBenefits!#REF!</definedName>
    <definedName name="baseTaxShieldDepreciation" localSheetId="12">[4]EconomicBenefits!#REF!</definedName>
    <definedName name="baseTaxShieldDepreciation" localSheetId="8">[4]EconomicBenefits!#REF!</definedName>
    <definedName name="baseTaxShieldDepreciation">[4]EconomicBenefits!#REF!</definedName>
    <definedName name="bio_rur_2008">'[2]Mass Z1 Craiova'!$F$131</definedName>
    <definedName name="bio_rur_2013">'[2]Mass Z1 Craiova'!$J$131</definedName>
    <definedName name="bio_rur_2019">'[2]Mass Z1 Craiova'!$N$131</definedName>
    <definedName name="cantitatetotala" localSheetId="10">#REF!</definedName>
    <definedName name="cantitatetotala" localSheetId="11">#REF!</definedName>
    <definedName name="cantitatetotala" localSheetId="6">#REF!</definedName>
    <definedName name="cantitatetotala" localSheetId="7">#REF!</definedName>
    <definedName name="cantitatetotala" localSheetId="12">#REF!</definedName>
    <definedName name="cantitatetotala" localSheetId="8">#REF!</definedName>
    <definedName name="cantitatetotala">#REF!</definedName>
    <definedName name="cantt" localSheetId="10">#REF!</definedName>
    <definedName name="cantt" localSheetId="11">#REF!</definedName>
    <definedName name="cantt" localSheetId="6">#REF!</definedName>
    <definedName name="cantt">#REF!</definedName>
    <definedName name="Coeficient_inflatie">[5]Var!$D$36</definedName>
    <definedName name="cresterei" localSheetId="10">#REF!</definedName>
    <definedName name="cresterei" localSheetId="11">#REF!</definedName>
    <definedName name="cresterei" localSheetId="6">#REF!</definedName>
    <definedName name="cresterei">#REF!</definedName>
    <definedName name="crestereii" localSheetId="10">#REF!</definedName>
    <definedName name="crestereii" localSheetId="11">#REF!</definedName>
    <definedName name="crestereii" localSheetId="6">#REF!</definedName>
    <definedName name="crestereii">#REF!</definedName>
    <definedName name="crestereindicator" localSheetId="10">#REF!</definedName>
    <definedName name="crestereindicator" localSheetId="11">#REF!</definedName>
    <definedName name="crestereindicator" localSheetId="6">#REF!</definedName>
    <definedName name="crestereindicator" localSheetId="7">#REF!</definedName>
    <definedName name="crestereindicator" localSheetId="12">#REF!</definedName>
    <definedName name="crestereindicator" localSheetId="8">#REF!</definedName>
    <definedName name="crestereindicator">#REF!</definedName>
    <definedName name="crestereindicator1" localSheetId="10">#REF!</definedName>
    <definedName name="crestereindicator1" localSheetId="11">#REF!</definedName>
    <definedName name="crestereindicator1" localSheetId="6">#REF!</definedName>
    <definedName name="crestereindicator1" localSheetId="7">#REF!</definedName>
    <definedName name="crestereindicator1" localSheetId="12">#REF!</definedName>
    <definedName name="crestereindicator1" localSheetId="8">#REF!</definedName>
    <definedName name="crestereindicator1">#REF!</definedName>
    <definedName name="euro">'[2]Interface CBA'!$I$4</definedName>
    <definedName name="evolutieindicator">'[6]pop+quant'!$D$20</definedName>
    <definedName name="grafb" localSheetId="10">#REF!</definedName>
    <definedName name="grafb" localSheetId="11">#REF!</definedName>
    <definedName name="grafb" localSheetId="6">#REF!</definedName>
    <definedName name="grafb">#REF!</definedName>
    <definedName name="GRAFIBIO" localSheetId="10">#REF!</definedName>
    <definedName name="GRAFIBIO" localSheetId="11">#REF!</definedName>
    <definedName name="GRAFIBIO" localSheetId="6">#REF!</definedName>
    <definedName name="GRAFIBIO" localSheetId="7">#REF!</definedName>
    <definedName name="GRAFIBIO" localSheetId="12">#REF!</definedName>
    <definedName name="GRAFIBIO" localSheetId="8">#REF!</definedName>
    <definedName name="GRAFIBIO">#REF!</definedName>
    <definedName name="GRAFIK" localSheetId="10">#REF!</definedName>
    <definedName name="GRAFIK" localSheetId="11">#REF!</definedName>
    <definedName name="GRAFIK" localSheetId="6">#REF!</definedName>
    <definedName name="GRAFIK" localSheetId="7">#REF!</definedName>
    <definedName name="GRAFIK" localSheetId="12">#REF!</definedName>
    <definedName name="GRAFIK" localSheetId="8">#REF!</definedName>
    <definedName name="GRAFIK">#REF!</definedName>
    <definedName name="grafk" localSheetId="10">#REF!</definedName>
    <definedName name="grafk" localSheetId="11">#REF!</definedName>
    <definedName name="grafk" localSheetId="6">#REF!</definedName>
    <definedName name="grafk">#REF!</definedName>
    <definedName name="hc" localSheetId="10">#REF!</definedName>
    <definedName name="hc" localSheetId="11">#REF!</definedName>
    <definedName name="hc" localSheetId="6">#REF!</definedName>
    <definedName name="hc" localSheetId="7">#REF!</definedName>
    <definedName name="hc" localSheetId="12">#REF!</definedName>
    <definedName name="hc" localSheetId="8">#REF!</definedName>
    <definedName name="hc">#REF!</definedName>
    <definedName name="hc_pop_2002" localSheetId="10">#REF!</definedName>
    <definedName name="hc_pop_2002" localSheetId="11">#REF!</definedName>
    <definedName name="hc_pop_2002" localSheetId="6">#REF!</definedName>
    <definedName name="hc_pop_2002" localSheetId="7">#REF!</definedName>
    <definedName name="hc_pop_2002" localSheetId="12">#REF!</definedName>
    <definedName name="hc_pop_2002" localSheetId="8">#REF!</definedName>
    <definedName name="hc_pop_2002">#REF!</definedName>
    <definedName name="hc_pop20" localSheetId="10">#REF!</definedName>
    <definedName name="hc_pop20" localSheetId="11">#REF!</definedName>
    <definedName name="hc_pop20" localSheetId="6">#REF!</definedName>
    <definedName name="hc_pop20">#REF!</definedName>
    <definedName name="hc_rur_2008">'[2]Mass Z1 Craiova'!$F$126</definedName>
    <definedName name="hc_rur_2013">'[2]Mass Z1 Craiova'!$J$126</definedName>
    <definedName name="hc_rur_2019">'[2]Mass Z1 Craiova'!$N$126</definedName>
    <definedName name="hc_ur_20" localSheetId="10">#REF!</definedName>
    <definedName name="hc_ur_20" localSheetId="11">#REF!</definedName>
    <definedName name="hc_ur_20" localSheetId="6">#REF!</definedName>
    <definedName name="hc_ur_20">#REF!</definedName>
    <definedName name="hc_ur_2002" localSheetId="10">#REF!</definedName>
    <definedName name="hc_ur_2002" localSheetId="11">#REF!</definedName>
    <definedName name="hc_ur_2002" localSheetId="6">#REF!</definedName>
    <definedName name="hc_ur_2002" localSheetId="7">#REF!</definedName>
    <definedName name="hc_ur_2002" localSheetId="12">#REF!</definedName>
    <definedName name="hc_ur_2002" localSheetId="8">#REF!</definedName>
    <definedName name="hc_ur_2002">#REF!</definedName>
    <definedName name="hcc" localSheetId="10">#REF!</definedName>
    <definedName name="hcc" localSheetId="11">#REF!</definedName>
    <definedName name="hcc" localSheetId="6">#REF!</definedName>
    <definedName name="hcc">#REF!</definedName>
    <definedName name="hctot" localSheetId="10">#REF!</definedName>
    <definedName name="hctot" localSheetId="11">#REF!</definedName>
    <definedName name="hctot" localSheetId="6">#REF!</definedName>
    <definedName name="hctot">#REF!</definedName>
    <definedName name="hctotal" localSheetId="10">#REF!</definedName>
    <definedName name="hctotal" localSheetId="11">#REF!</definedName>
    <definedName name="hctotal" localSheetId="6">#REF!</definedName>
    <definedName name="hctotal" localSheetId="7">#REF!</definedName>
    <definedName name="hctotal" localSheetId="12">#REF!</definedName>
    <definedName name="hctotal" localSheetId="8">#REF!</definedName>
    <definedName name="hctotal">#REF!</definedName>
    <definedName name="IC" localSheetId="10">#REF!</definedName>
    <definedName name="IC" localSheetId="11">#REF!</definedName>
    <definedName name="IC" localSheetId="6">#REF!</definedName>
    <definedName name="IC">#REF!</definedName>
    <definedName name="ICI" localSheetId="10">#REF!</definedName>
    <definedName name="ICI" localSheetId="11">#REF!</definedName>
    <definedName name="ICI" localSheetId="6">#REF!</definedName>
    <definedName name="ICI" localSheetId="7">#REF!</definedName>
    <definedName name="ICI" localSheetId="12">#REF!</definedName>
    <definedName name="ICI" localSheetId="8">#REF!</definedName>
    <definedName name="ICI">#REF!</definedName>
    <definedName name="ind" localSheetId="10">'[7]Prognoza deseuri ambalaje'!#REF!</definedName>
    <definedName name="ind" localSheetId="11">'[7]Prognoza deseuri ambalaje'!#REF!</definedName>
    <definedName name="ind" localSheetId="6">'[7]Prognoza deseuri ambalaje'!#REF!</definedName>
    <definedName name="ind" localSheetId="7">'[7]Prognoza deseuri ambalaje'!#REF!</definedName>
    <definedName name="ind" localSheetId="12">'[7]Prognoza deseuri ambalaje'!#REF!</definedName>
    <definedName name="ind" localSheetId="8">'[7]Prognoza deseuri ambalaje'!#REF!</definedName>
    <definedName name="ind">'[7]Prognoza deseuri ambalaje'!#REF!</definedName>
    <definedName name="indi" localSheetId="10">'[7]Prognoza deseuri ambalaje'!#REF!</definedName>
    <definedName name="indi" localSheetId="11">'[7]Prognoza deseuri ambalaje'!#REF!</definedName>
    <definedName name="indi" localSheetId="6">'[7]Prognoza deseuri ambalaje'!#REF!</definedName>
    <definedName name="indi">'[7]Prognoza deseuri ambalaje'!#REF!</definedName>
    <definedName name="le" localSheetId="10">#REF!</definedName>
    <definedName name="le" localSheetId="11">#REF!</definedName>
    <definedName name="le" localSheetId="6">#REF!</definedName>
    <definedName name="le" localSheetId="7">#REF!</definedName>
    <definedName name="le" localSheetId="12">#REF!</definedName>
    <definedName name="le" localSheetId="8">#REF!</definedName>
    <definedName name="le">#REF!</definedName>
    <definedName name="lee" localSheetId="10">#REF!</definedName>
    <definedName name="lee" localSheetId="11">#REF!</definedName>
    <definedName name="lee" localSheetId="6">#REF!</definedName>
    <definedName name="lee">#REF!</definedName>
    <definedName name="lem" localSheetId="10">#REF!</definedName>
    <definedName name="lem" localSheetId="11">#REF!</definedName>
    <definedName name="lem" localSheetId="6">#REF!</definedName>
    <definedName name="lem" localSheetId="7">#REF!</definedName>
    <definedName name="lem" localSheetId="12">#REF!</definedName>
    <definedName name="lem" localSheetId="8">#REF!</definedName>
    <definedName name="lem">#REF!</definedName>
    <definedName name="lemm" localSheetId="10">#REF!</definedName>
    <definedName name="lemm" localSheetId="11">#REF!</definedName>
    <definedName name="lemm" localSheetId="6">#REF!</definedName>
    <definedName name="lemm">#REF!</definedName>
    <definedName name="lemn" localSheetId="10">'[7]Prognoza deseuri ambalaje'!#REF!</definedName>
    <definedName name="lemn" localSheetId="11">'[7]Prognoza deseuri ambalaje'!#REF!</definedName>
    <definedName name="lemn" localSheetId="6">'[7]Prognoza deseuri ambalaje'!#REF!</definedName>
    <definedName name="lemn" localSheetId="7">'[7]Prognoza deseuri ambalaje'!#REF!</definedName>
    <definedName name="lemn" localSheetId="12">'[7]Prognoza deseuri ambalaje'!#REF!</definedName>
    <definedName name="lemn" localSheetId="8">'[7]Prognoza deseuri ambalaje'!#REF!</definedName>
    <definedName name="lemn">'[7]Prognoza deseuri ambalaje'!#REF!</definedName>
    <definedName name="lemn1" localSheetId="10">'[1]Prognoza deseuri ambalaje'!#REF!</definedName>
    <definedName name="lemn1" localSheetId="11">'[1]Prognoza deseuri ambalaje'!#REF!</definedName>
    <definedName name="lemn1" localSheetId="6">'[1]Prognoza deseuri ambalaje'!#REF!</definedName>
    <definedName name="lemn1" localSheetId="7">'[1]Prognoza deseuri ambalaje'!#REF!</definedName>
    <definedName name="lemn1" localSheetId="12">'[1]Prognoza deseuri ambalaje'!#REF!</definedName>
    <definedName name="lemn1" localSheetId="8">'[1]Prognoza deseuri ambalaje'!#REF!</definedName>
    <definedName name="lemn1">'[1]Prognoza deseuri ambalaje'!#REF!</definedName>
    <definedName name="lemn11" localSheetId="10">'[1]Prognoza deseuri ambalaje'!#REF!</definedName>
    <definedName name="lemn11" localSheetId="11">'[1]Prognoza deseuri ambalaje'!#REF!</definedName>
    <definedName name="lemn11" localSheetId="6">'[1]Prognoza deseuri ambalaje'!#REF!</definedName>
    <definedName name="lemn11">'[1]Prognoza deseuri ambalaje'!#REF!</definedName>
    <definedName name="lemnn" localSheetId="10">'[7]Prognoza deseuri ambalaje'!#REF!</definedName>
    <definedName name="lemnn" localSheetId="11">'[7]Prognoza deseuri ambalaje'!#REF!</definedName>
    <definedName name="lemnn" localSheetId="6">'[7]Prognoza deseuri ambalaje'!#REF!</definedName>
    <definedName name="lemnn">'[7]Prognoza deseuri ambalaje'!#REF!</definedName>
    <definedName name="lemntotal" localSheetId="10">#REF!</definedName>
    <definedName name="lemntotal" localSheetId="11">#REF!</definedName>
    <definedName name="lemntotal" localSheetId="6">#REF!</definedName>
    <definedName name="lemntotal" localSheetId="7">#REF!</definedName>
    <definedName name="lemntotal" localSheetId="12">#REF!</definedName>
    <definedName name="lemntotal" localSheetId="8">#REF!</definedName>
    <definedName name="lemntotal">#REF!</definedName>
    <definedName name="lemntotal1" localSheetId="10">#REF!</definedName>
    <definedName name="lemntotal1" localSheetId="11">#REF!</definedName>
    <definedName name="lemntotal1" localSheetId="6">#REF!</definedName>
    <definedName name="lemntotal1">#REF!</definedName>
    <definedName name="LOWE" localSheetId="10">#REF!</definedName>
    <definedName name="LOWE" localSheetId="11">#REF!</definedName>
    <definedName name="LOWE" localSheetId="6">#REF!</definedName>
    <definedName name="LOWE">#REF!</definedName>
    <definedName name="loweB" localSheetId="10">#REF!</definedName>
    <definedName name="loweB" localSheetId="11">#REF!</definedName>
    <definedName name="loweB" localSheetId="6">#REF!</definedName>
    <definedName name="loweB">#REF!</definedName>
    <definedName name="lowerEcoB" localSheetId="10">#REF!</definedName>
    <definedName name="lowerEcoB" localSheetId="11">#REF!</definedName>
    <definedName name="lowerEcoB" localSheetId="6">#REF!</definedName>
    <definedName name="lowerEcoB">#REF!</definedName>
    <definedName name="lowerEcoBenefits" localSheetId="10">#REF!</definedName>
    <definedName name="lowerEcoBenefits" localSheetId="11">#REF!</definedName>
    <definedName name="lowerEcoBenefits" localSheetId="6">#REF!</definedName>
    <definedName name="lowerEcoBenefits" localSheetId="7">#REF!</definedName>
    <definedName name="lowerEcoBenefits" localSheetId="12">#REF!</definedName>
    <definedName name="lowerEcoBenefits" localSheetId="8">#REF!</definedName>
    <definedName name="lowerEcoBenefits">#REF!</definedName>
    <definedName name="lowerEcoCostsA" localSheetId="10">#REF!</definedName>
    <definedName name="lowerEcoCostsA" localSheetId="11">#REF!</definedName>
    <definedName name="lowerEcoCostsA" localSheetId="6">#REF!</definedName>
    <definedName name="lowerEcoCostsA" localSheetId="7">#REF!</definedName>
    <definedName name="lowerEcoCostsA" localSheetId="12">#REF!</definedName>
    <definedName name="lowerEcoCostsA" localSheetId="8">#REF!</definedName>
    <definedName name="lowerEcoCostsA">#REF!</definedName>
    <definedName name="lowerEcoCostsB" localSheetId="10">#REF!</definedName>
    <definedName name="lowerEcoCostsB" localSheetId="11">#REF!</definedName>
    <definedName name="lowerEcoCostsB" localSheetId="6">#REF!</definedName>
    <definedName name="lowerEcoCostsB" localSheetId="7">#REF!</definedName>
    <definedName name="lowerEcoCostsB" localSheetId="12">#REF!</definedName>
    <definedName name="lowerEcoCostsB" localSheetId="8">#REF!</definedName>
    <definedName name="lowerEcoCostsB">#REF!</definedName>
    <definedName name="lowerInv" localSheetId="10">#REF!</definedName>
    <definedName name="lowerInv" localSheetId="11">#REF!</definedName>
    <definedName name="lowerInv" localSheetId="6">#REF!</definedName>
    <definedName name="lowerInv">#REF!</definedName>
    <definedName name="lowerInvestment" localSheetId="10">#REF!</definedName>
    <definedName name="lowerInvestment" localSheetId="11">#REF!</definedName>
    <definedName name="lowerInvestment" localSheetId="6">#REF!</definedName>
    <definedName name="lowerInvestment" localSheetId="7">#REF!</definedName>
    <definedName name="lowerInvestment" localSheetId="12">#REF!</definedName>
    <definedName name="lowerInvestment" localSheetId="8">#REF!</definedName>
    <definedName name="lowerInvestment">#REF!</definedName>
    <definedName name="lowerOand" localSheetId="10">#REF!</definedName>
    <definedName name="lowerOand" localSheetId="11">#REF!</definedName>
    <definedName name="lowerOand" localSheetId="6">#REF!</definedName>
    <definedName name="lowerOand">#REF!</definedName>
    <definedName name="lowerOandM" localSheetId="10">#REF!</definedName>
    <definedName name="lowerOandM" localSheetId="11">#REF!</definedName>
    <definedName name="lowerOandM" localSheetId="6">#REF!</definedName>
    <definedName name="lowerOandM" localSheetId="7">#REF!</definedName>
    <definedName name="lowerOandM" localSheetId="12">#REF!</definedName>
    <definedName name="lowerOandM" localSheetId="8">#REF!</definedName>
    <definedName name="lowerOandM">#REF!</definedName>
    <definedName name="lowerRev" localSheetId="10">#REF!</definedName>
    <definedName name="lowerRev" localSheetId="11">#REF!</definedName>
    <definedName name="lowerRev" localSheetId="6">#REF!</definedName>
    <definedName name="lowerRev">#REF!</definedName>
    <definedName name="lowerRevenues" localSheetId="10">#REF!</definedName>
    <definedName name="lowerRevenues" localSheetId="11">#REF!</definedName>
    <definedName name="lowerRevenues" localSheetId="6">#REF!</definedName>
    <definedName name="lowerRevenues" localSheetId="7">#REF!</definedName>
    <definedName name="lowerRevenues" localSheetId="12">#REF!</definedName>
    <definedName name="lowerRevenues" localSheetId="8">#REF!</definedName>
    <definedName name="lowerRevenues">#REF!</definedName>
    <definedName name="meanENPV">[3]Sensitivity!$E$52</definedName>
    <definedName name="meanFNPVK">[3]Sensitivity!$E$24</definedName>
    <definedName name="met" localSheetId="10">#REF!</definedName>
    <definedName name="met" localSheetId="11">#REF!</definedName>
    <definedName name="met" localSheetId="6">#REF!</definedName>
    <definedName name="met" localSheetId="7">#REF!</definedName>
    <definedName name="met" localSheetId="12">#REF!</definedName>
    <definedName name="met" localSheetId="8">#REF!</definedName>
    <definedName name="met">#REF!</definedName>
    <definedName name="met_rur_2008">'[2]Mass Z1 Craiova'!$F$129</definedName>
    <definedName name="met_rur_2013">'[2]Mass Z1 Craiova'!$J$129</definedName>
    <definedName name="met_rur_2019">'[2]Mass Z1 Craiova'!$N$129</definedName>
    <definedName name="metal" localSheetId="10">#REF!</definedName>
    <definedName name="metal" localSheetId="11">#REF!</definedName>
    <definedName name="metal" localSheetId="6">#REF!</definedName>
    <definedName name="metal" localSheetId="7">#REF!</definedName>
    <definedName name="metal" localSheetId="12">#REF!</definedName>
    <definedName name="metal" localSheetId="8">#REF!</definedName>
    <definedName name="metal">#REF!</definedName>
    <definedName name="metale" localSheetId="10">'[7]Prognoza deseuri ambalaje'!#REF!</definedName>
    <definedName name="metale" localSheetId="11">'[7]Prognoza deseuri ambalaje'!#REF!</definedName>
    <definedName name="metale" localSheetId="6">'[7]Prognoza deseuri ambalaje'!#REF!</definedName>
    <definedName name="metale" localSheetId="7">'[7]Prognoza deseuri ambalaje'!#REF!</definedName>
    <definedName name="metale" localSheetId="12">'[7]Prognoza deseuri ambalaje'!#REF!</definedName>
    <definedName name="metale" localSheetId="8">'[7]Prognoza deseuri ambalaje'!#REF!</definedName>
    <definedName name="metale">'[7]Prognoza deseuri ambalaje'!#REF!</definedName>
    <definedName name="metale1" localSheetId="10">'[1]Prognoza deseuri ambalaje'!#REF!</definedName>
    <definedName name="metale1" localSheetId="11">'[1]Prognoza deseuri ambalaje'!#REF!</definedName>
    <definedName name="metale1" localSheetId="6">'[1]Prognoza deseuri ambalaje'!#REF!</definedName>
    <definedName name="metale1" localSheetId="7">'[1]Prognoza deseuri ambalaje'!#REF!</definedName>
    <definedName name="metale1" localSheetId="12">'[1]Prognoza deseuri ambalaje'!#REF!</definedName>
    <definedName name="metale1" localSheetId="8">'[1]Prognoza deseuri ambalaje'!#REF!</definedName>
    <definedName name="metale1">'[1]Prognoza deseuri ambalaje'!#REF!</definedName>
    <definedName name="metale11" localSheetId="10">'[1]Prognoza deseuri ambalaje'!#REF!</definedName>
    <definedName name="metale11" localSheetId="11">'[1]Prognoza deseuri ambalaje'!#REF!</definedName>
    <definedName name="metale11" localSheetId="6">'[1]Prognoza deseuri ambalaje'!#REF!</definedName>
    <definedName name="metale11">'[1]Prognoza deseuri ambalaje'!#REF!</definedName>
    <definedName name="metalee" localSheetId="10">'[7]Prognoza deseuri ambalaje'!#REF!</definedName>
    <definedName name="metalee" localSheetId="11">'[7]Prognoza deseuri ambalaje'!#REF!</definedName>
    <definedName name="metalee" localSheetId="6">'[7]Prognoza deseuri ambalaje'!#REF!</definedName>
    <definedName name="metalee">'[7]Prognoza deseuri ambalaje'!#REF!</definedName>
    <definedName name="metaletotal" localSheetId="10">#REF!</definedName>
    <definedName name="metaletotal" localSheetId="11">#REF!</definedName>
    <definedName name="metaletotal" localSheetId="6">#REF!</definedName>
    <definedName name="metaletotal" localSheetId="7">#REF!</definedName>
    <definedName name="metaletotal" localSheetId="12">#REF!</definedName>
    <definedName name="metaletotal" localSheetId="8">#REF!</definedName>
    <definedName name="metaletotal">#REF!</definedName>
    <definedName name="metaletotall" localSheetId="10">#REF!</definedName>
    <definedName name="metaletotall" localSheetId="11">#REF!</definedName>
    <definedName name="metaletotall" localSheetId="6">#REF!</definedName>
    <definedName name="metaletotall">#REF!</definedName>
    <definedName name="metall" localSheetId="10">#REF!</definedName>
    <definedName name="metall" localSheetId="11">#REF!</definedName>
    <definedName name="metall" localSheetId="6">#REF!</definedName>
    <definedName name="metall">#REF!</definedName>
    <definedName name="mett" localSheetId="10">#REF!</definedName>
    <definedName name="mett" localSheetId="11">#REF!</definedName>
    <definedName name="mett" localSheetId="6">#REF!</definedName>
    <definedName name="mett">#REF!</definedName>
    <definedName name="NOELL" localSheetId="10">#REF!</definedName>
    <definedName name="NOELL" localSheetId="11">#REF!</definedName>
    <definedName name="NOELL" localSheetId="6">#REF!</definedName>
    <definedName name="NOELL" localSheetId="7">#REF!</definedName>
    <definedName name="NOELL" localSheetId="12">#REF!</definedName>
    <definedName name="NOELL" localSheetId="8">#REF!</definedName>
    <definedName name="NOELL">#REF!</definedName>
    <definedName name="noelll" localSheetId="10">#REF!</definedName>
    <definedName name="noelll" localSheetId="11">#REF!</definedName>
    <definedName name="noelll" localSheetId="6">#REF!</definedName>
    <definedName name="noelll">#REF!</definedName>
    <definedName name="P_2004" localSheetId="10">#REF!</definedName>
    <definedName name="P_2004" localSheetId="11">#REF!</definedName>
    <definedName name="P_2004" localSheetId="6">#REF!</definedName>
    <definedName name="P_2004" localSheetId="7">#REF!</definedName>
    <definedName name="P_2004" localSheetId="12">#REF!</definedName>
    <definedName name="P_2004" localSheetId="8">#REF!</definedName>
    <definedName name="P_2004">#REF!</definedName>
    <definedName name="p_2004_1" localSheetId="10">#REF!</definedName>
    <definedName name="p_2004_1" localSheetId="11">#REF!</definedName>
    <definedName name="p_2004_1" localSheetId="6">#REF!</definedName>
    <definedName name="p_2004_1">#REF!</definedName>
    <definedName name="P_2005" localSheetId="10">#REF!</definedName>
    <definedName name="P_2005" localSheetId="11">#REF!</definedName>
    <definedName name="P_2005" localSheetId="6">#REF!</definedName>
    <definedName name="P_2005" localSheetId="7">#REF!</definedName>
    <definedName name="P_2005" localSheetId="12">#REF!</definedName>
    <definedName name="P_2005" localSheetId="8">#REF!</definedName>
    <definedName name="P_2005">#REF!</definedName>
    <definedName name="p_2005_1" localSheetId="10">#REF!</definedName>
    <definedName name="p_2005_1" localSheetId="11">#REF!</definedName>
    <definedName name="p_2005_1" localSheetId="6">#REF!</definedName>
    <definedName name="p_2005_1">#REF!</definedName>
    <definedName name="P_2006" localSheetId="10">#REF!</definedName>
    <definedName name="P_2006" localSheetId="11">#REF!</definedName>
    <definedName name="P_2006" localSheetId="6">#REF!</definedName>
    <definedName name="P_2006" localSheetId="7">#REF!</definedName>
    <definedName name="P_2006" localSheetId="12">#REF!</definedName>
    <definedName name="P_2006" localSheetId="8">#REF!</definedName>
    <definedName name="P_2006">#REF!</definedName>
    <definedName name="p_2006_1" localSheetId="10">#REF!</definedName>
    <definedName name="p_2006_1" localSheetId="11">#REF!</definedName>
    <definedName name="p_2006_1" localSheetId="6">#REF!</definedName>
    <definedName name="p_2006_1">#REF!</definedName>
    <definedName name="P_2007" localSheetId="10">#REF!</definedName>
    <definedName name="P_2007" localSheetId="11">#REF!</definedName>
    <definedName name="P_2007" localSheetId="6">#REF!</definedName>
    <definedName name="P_2007" localSheetId="7">#REF!</definedName>
    <definedName name="P_2007" localSheetId="12">#REF!</definedName>
    <definedName name="P_2007" localSheetId="8">#REF!</definedName>
    <definedName name="P_2007">#REF!</definedName>
    <definedName name="p_2007_1" localSheetId="10">#REF!</definedName>
    <definedName name="p_2007_1" localSheetId="11">#REF!</definedName>
    <definedName name="p_2007_1" localSheetId="6">#REF!</definedName>
    <definedName name="p_2007_1">#REF!</definedName>
    <definedName name="P_2008" localSheetId="10">#REF!</definedName>
    <definedName name="P_2008" localSheetId="11">#REF!</definedName>
    <definedName name="P_2008" localSheetId="6">#REF!</definedName>
    <definedName name="P_2008" localSheetId="7">#REF!</definedName>
    <definedName name="P_2008" localSheetId="12">#REF!</definedName>
    <definedName name="P_2008" localSheetId="8">#REF!</definedName>
    <definedName name="P_2008">#REF!</definedName>
    <definedName name="p_2008_1" localSheetId="10">#REF!</definedName>
    <definedName name="p_2008_1" localSheetId="11">#REF!</definedName>
    <definedName name="p_2008_1" localSheetId="6">#REF!</definedName>
    <definedName name="p_2008_1">#REF!</definedName>
    <definedName name="P_2009" localSheetId="10">#REF!</definedName>
    <definedName name="P_2009" localSheetId="11">#REF!</definedName>
    <definedName name="P_2009" localSheetId="6">#REF!</definedName>
    <definedName name="P_2009" localSheetId="7">#REF!</definedName>
    <definedName name="P_2009" localSheetId="12">#REF!</definedName>
    <definedName name="P_2009" localSheetId="8">#REF!</definedName>
    <definedName name="P_2009">#REF!</definedName>
    <definedName name="p_2009_1" localSheetId="10">#REF!</definedName>
    <definedName name="p_2009_1" localSheetId="11">#REF!</definedName>
    <definedName name="p_2009_1" localSheetId="6">#REF!</definedName>
    <definedName name="p_2009_1">#REF!</definedName>
    <definedName name="P_2010" localSheetId="10">#REF!</definedName>
    <definedName name="P_2010" localSheetId="11">#REF!</definedName>
    <definedName name="P_2010" localSheetId="6">#REF!</definedName>
    <definedName name="P_2010" localSheetId="7">#REF!</definedName>
    <definedName name="P_2010" localSheetId="12">#REF!</definedName>
    <definedName name="P_2010" localSheetId="8">#REF!</definedName>
    <definedName name="P_2010">#REF!</definedName>
    <definedName name="p_2010_1" localSheetId="10">#REF!</definedName>
    <definedName name="p_2010_1" localSheetId="11">#REF!</definedName>
    <definedName name="p_2010_1" localSheetId="6">#REF!</definedName>
    <definedName name="p_2010_1">#REF!</definedName>
    <definedName name="P_2011" localSheetId="10">#REF!</definedName>
    <definedName name="P_2011" localSheetId="11">#REF!</definedName>
    <definedName name="P_2011" localSheetId="6">#REF!</definedName>
    <definedName name="P_2011" localSheetId="7">#REF!</definedName>
    <definedName name="P_2011" localSheetId="12">#REF!</definedName>
    <definedName name="P_2011" localSheetId="8">#REF!</definedName>
    <definedName name="P_2011">#REF!</definedName>
    <definedName name="p_2011_1" localSheetId="10">#REF!</definedName>
    <definedName name="p_2011_1" localSheetId="11">#REF!</definedName>
    <definedName name="p_2011_1" localSheetId="6">#REF!</definedName>
    <definedName name="p_2011_1">#REF!</definedName>
    <definedName name="P_2012" localSheetId="10">#REF!</definedName>
    <definedName name="P_2012" localSheetId="11">#REF!</definedName>
    <definedName name="P_2012" localSheetId="6">#REF!</definedName>
    <definedName name="P_2012" localSheetId="7">#REF!</definedName>
    <definedName name="P_2012" localSheetId="12">#REF!</definedName>
    <definedName name="P_2012" localSheetId="8">#REF!</definedName>
    <definedName name="P_2012">#REF!</definedName>
    <definedName name="p_2012_1" localSheetId="10">#REF!</definedName>
    <definedName name="p_2012_1" localSheetId="11">#REF!</definedName>
    <definedName name="p_2012_1" localSheetId="6">#REF!</definedName>
    <definedName name="p_2012_1">#REF!</definedName>
    <definedName name="P_2013" localSheetId="10">#REF!</definedName>
    <definedName name="P_2013" localSheetId="11">#REF!</definedName>
    <definedName name="P_2013" localSheetId="6">#REF!</definedName>
    <definedName name="P_2013" localSheetId="7">#REF!</definedName>
    <definedName name="P_2013" localSheetId="12">#REF!</definedName>
    <definedName name="P_2013" localSheetId="8">#REF!</definedName>
    <definedName name="P_2013">#REF!</definedName>
    <definedName name="p_2013_1" localSheetId="10">#REF!</definedName>
    <definedName name="p_2013_1" localSheetId="11">#REF!</definedName>
    <definedName name="p_2013_1" localSheetId="6">#REF!</definedName>
    <definedName name="p_2013_1">#REF!</definedName>
    <definedName name="pierderi" localSheetId="12">'O&amp;M costs '!$G$32</definedName>
    <definedName name="pierderi">'O&amp;M costs-old'!$G$36</definedName>
    <definedName name="pl" localSheetId="10">#REF!</definedName>
    <definedName name="pl" localSheetId="11">#REF!</definedName>
    <definedName name="pl" localSheetId="6">#REF!</definedName>
    <definedName name="pl" localSheetId="7">#REF!</definedName>
    <definedName name="pl" localSheetId="12">#REF!</definedName>
    <definedName name="pl" localSheetId="8">#REF!</definedName>
    <definedName name="pl">#REF!</definedName>
    <definedName name="pl_rur_2008">'[2]Mass Z1 Craiova'!$F$128</definedName>
    <definedName name="pl_rur_2013">'[2]Mass Z1 Craiova'!$J$128</definedName>
    <definedName name="pl_rur_2019">'[2]Mass Z1 Craiova'!$N$128</definedName>
    <definedName name="plastic" localSheetId="10">'[7]Prognoza deseuri ambalaje'!#REF!</definedName>
    <definedName name="plastic" localSheetId="11">'[7]Prognoza deseuri ambalaje'!#REF!</definedName>
    <definedName name="plastic" localSheetId="6">'[7]Prognoza deseuri ambalaje'!#REF!</definedName>
    <definedName name="plastic" localSheetId="7">'[7]Prognoza deseuri ambalaje'!#REF!</definedName>
    <definedName name="plastic" localSheetId="12">'[7]Prognoza deseuri ambalaje'!#REF!</definedName>
    <definedName name="plastic" localSheetId="8">'[7]Prognoza deseuri ambalaje'!#REF!</definedName>
    <definedName name="plastic">'[7]Prognoza deseuri ambalaje'!#REF!</definedName>
    <definedName name="plastic1" localSheetId="10">'[1]Prognoza deseuri ambalaje'!#REF!</definedName>
    <definedName name="plastic1" localSheetId="11">'[1]Prognoza deseuri ambalaje'!#REF!</definedName>
    <definedName name="plastic1" localSheetId="6">'[1]Prognoza deseuri ambalaje'!#REF!</definedName>
    <definedName name="plastic1" localSheetId="7">'[1]Prognoza deseuri ambalaje'!#REF!</definedName>
    <definedName name="plastic1" localSheetId="12">'[1]Prognoza deseuri ambalaje'!#REF!</definedName>
    <definedName name="plastic1" localSheetId="8">'[1]Prognoza deseuri ambalaje'!#REF!</definedName>
    <definedName name="plastic1">'[1]Prognoza deseuri ambalaje'!#REF!</definedName>
    <definedName name="plastic11" localSheetId="10">'[1]Prognoza deseuri ambalaje'!#REF!</definedName>
    <definedName name="plastic11" localSheetId="11">'[1]Prognoza deseuri ambalaje'!#REF!</definedName>
    <definedName name="plastic11" localSheetId="6">'[1]Prognoza deseuri ambalaje'!#REF!</definedName>
    <definedName name="plastic11">'[1]Prognoza deseuri ambalaje'!#REF!</definedName>
    <definedName name="plasticc" localSheetId="10">'[7]Prognoza deseuri ambalaje'!#REF!</definedName>
    <definedName name="plasticc" localSheetId="11">'[7]Prognoza deseuri ambalaje'!#REF!</definedName>
    <definedName name="plasticc" localSheetId="6">'[7]Prognoza deseuri ambalaje'!#REF!</definedName>
    <definedName name="plasticc">'[7]Prognoza deseuri ambalaje'!#REF!</definedName>
    <definedName name="plastictotal" localSheetId="10">#REF!</definedName>
    <definedName name="plastictotal" localSheetId="11">#REF!</definedName>
    <definedName name="plastictotal" localSheetId="6">#REF!</definedName>
    <definedName name="plastictotal" localSheetId="7">#REF!</definedName>
    <definedName name="plastictotal" localSheetId="12">#REF!</definedName>
    <definedName name="plastictotal" localSheetId="8">#REF!</definedName>
    <definedName name="plastictotal">#REF!</definedName>
    <definedName name="plastictotall" localSheetId="10">#REF!</definedName>
    <definedName name="plastictotall" localSheetId="11">#REF!</definedName>
    <definedName name="plastictotall" localSheetId="6">#REF!</definedName>
    <definedName name="plastictotall">#REF!</definedName>
    <definedName name="pll" localSheetId="10">#REF!</definedName>
    <definedName name="pll" localSheetId="11">#REF!</definedName>
    <definedName name="pll" localSheetId="6">#REF!</definedName>
    <definedName name="pll">#REF!</definedName>
    <definedName name="Pop" localSheetId="10">#REF!</definedName>
    <definedName name="Pop" localSheetId="11">#REF!</definedName>
    <definedName name="Pop" localSheetId="6">#REF!</definedName>
    <definedName name="Pop" localSheetId="7">#REF!</definedName>
    <definedName name="Pop" localSheetId="12">#REF!</definedName>
    <definedName name="Pop" localSheetId="8">#REF!</definedName>
    <definedName name="Pop">#REF!</definedName>
    <definedName name="Popp" localSheetId="10">#REF!</definedName>
    <definedName name="Popp" localSheetId="11">#REF!</definedName>
    <definedName name="Popp" localSheetId="6">#REF!</definedName>
    <definedName name="Popp">#REF!</definedName>
    <definedName name="prag">[2]Tarife!$F$44</definedName>
    <definedName name="_xlnm.Print_Area" localSheetId="4">'6,3,1'!$A$1:$J$289</definedName>
    <definedName name="_xlnm.Print_Area" localSheetId="2">'7.3.1'!$A$1:$I$149</definedName>
    <definedName name="_xlnm.Print_Area" localSheetId="10">#REF!</definedName>
    <definedName name="_xlnm.Print_Area" localSheetId="11">#REF!</definedName>
    <definedName name="_xlnm.Print_Area" localSheetId="6">#REF!</definedName>
    <definedName name="_xlnm.Print_Area" localSheetId="7">#REF!</definedName>
    <definedName name="_xlnm.Print_Area" localSheetId="12">#REF!</definedName>
    <definedName name="_xlnm.Print_Area" localSheetId="8">#REF!</definedName>
    <definedName name="_xlnm.Print_Area">#REF!</definedName>
    <definedName name="Print_Areaa" localSheetId="10">#REF!</definedName>
    <definedName name="Print_Areaa" localSheetId="11">#REF!</definedName>
    <definedName name="Print_Areaa" localSheetId="6">#REF!</definedName>
    <definedName name="Print_Areaa">#REF!</definedName>
    <definedName name="print_ti" localSheetId="10">#REF!</definedName>
    <definedName name="print_ti" localSheetId="11">#REF!</definedName>
    <definedName name="print_ti" localSheetId="6">#REF!</definedName>
    <definedName name="print_ti">#REF!</definedName>
    <definedName name="_xlnm.Print_Titles" localSheetId="2">'7.3.1'!$1:$9</definedName>
    <definedName name="_xlnm.Print_Titles" localSheetId="10">#REF!</definedName>
    <definedName name="_xlnm.Print_Titles" localSheetId="11">#REF!</definedName>
    <definedName name="_xlnm.Print_Titles" localSheetId="6">#REF!</definedName>
    <definedName name="_xlnm.Print_Titles" localSheetId="7">#REF!</definedName>
    <definedName name="_xlnm.Print_Titles" localSheetId="12">#REF!</definedName>
    <definedName name="_xlnm.Print_Titles" localSheetId="8">#REF!</definedName>
    <definedName name="_xlnm.Print_Titles">#REF!</definedName>
    <definedName name="printouteur">'[8]Equiv EUR'!$B$7:$AN$109</definedName>
    <definedName name="printoutlocal1">[8]Output!$B$7:$AN$105</definedName>
    <definedName name="printoutlocal2">[8]Output!$B$105:$AN$173</definedName>
    <definedName name="proc_urban">'[9]Alternative 1 Dolj'!$D$20</definedName>
    <definedName name="rata" localSheetId="10">DPC_rur!$C$24</definedName>
    <definedName name="rata" localSheetId="11">DPC_urb!$C$24</definedName>
    <definedName name="rata">DPC!$C$24</definedName>
    <definedName name="REF" localSheetId="10">#REF!</definedName>
    <definedName name="REF" localSheetId="11">#REF!</definedName>
    <definedName name="REF" localSheetId="6">#REF!</definedName>
    <definedName name="REF" localSheetId="7">#REF!</definedName>
    <definedName name="REF" localSheetId="12">#REF!</definedName>
    <definedName name="REF" localSheetId="8">#REF!</definedName>
    <definedName name="REF">#REF!</definedName>
    <definedName name="reff" localSheetId="10">#REF!</definedName>
    <definedName name="reff" localSheetId="11">#REF!</definedName>
    <definedName name="reff" localSheetId="6">#REF!</definedName>
    <definedName name="reff">#REF!</definedName>
    <definedName name="ROST" localSheetId="10">#REF!</definedName>
    <definedName name="ROST" localSheetId="11">#REF!</definedName>
    <definedName name="ROST" localSheetId="6">#REF!</definedName>
    <definedName name="ROST" localSheetId="7">#REF!</definedName>
    <definedName name="ROST" localSheetId="12">#REF!</definedName>
    <definedName name="ROST" localSheetId="8">#REF!</definedName>
    <definedName name="ROST">#REF!</definedName>
    <definedName name="rostt" localSheetId="10">#REF!</definedName>
    <definedName name="rostt" localSheetId="11">#REF!</definedName>
    <definedName name="rostt" localSheetId="6">#REF!</definedName>
    <definedName name="rostt">#REF!</definedName>
    <definedName name="Rural">'[2]Mass Z1 Craiova'!$D$10</definedName>
    <definedName name="SBV" localSheetId="10">#REF!</definedName>
    <definedName name="SBV" localSheetId="11">#REF!</definedName>
    <definedName name="SBV" localSheetId="6">#REF!</definedName>
    <definedName name="SBV" localSheetId="7">#REF!</definedName>
    <definedName name="SBV" localSheetId="12">#REF!</definedName>
    <definedName name="SBV" localSheetId="8">#REF!</definedName>
    <definedName name="SBV">#REF!</definedName>
    <definedName name="sbvv" localSheetId="10">#REF!</definedName>
    <definedName name="sbvv" localSheetId="11">#REF!</definedName>
    <definedName name="sbvv" localSheetId="6">#REF!</definedName>
    <definedName name="sbvv">#REF!</definedName>
    <definedName name="st" localSheetId="10">#REF!</definedName>
    <definedName name="st" localSheetId="11">#REF!</definedName>
    <definedName name="st" localSheetId="6">#REF!</definedName>
    <definedName name="st" localSheetId="7">#REF!</definedName>
    <definedName name="st" localSheetId="12">#REF!</definedName>
    <definedName name="st" localSheetId="8">#REF!</definedName>
    <definedName name="st">#REF!</definedName>
    <definedName name="st_rur_2008">'[2]Mass Z1 Craiova'!$F$127</definedName>
    <definedName name="st_rur_2013">'[2]Mass Z1 Craiova'!$J$127</definedName>
    <definedName name="st_rur_2019">'[2]Mass Z1 Craiova'!$N$127</definedName>
    <definedName name="stdevENPV">[3]Sensitivity!$G$52</definedName>
    <definedName name="stdevFNPVK">[3]Sensitivity!$G$24</definedName>
    <definedName name="stic" localSheetId="10">#REF!</definedName>
    <definedName name="stic" localSheetId="11">#REF!</definedName>
    <definedName name="stic" localSheetId="6">#REF!</definedName>
    <definedName name="stic" localSheetId="7">#REF!</definedName>
    <definedName name="stic" localSheetId="12">#REF!</definedName>
    <definedName name="stic" localSheetId="8">#REF!</definedName>
    <definedName name="stic">#REF!</definedName>
    <definedName name="sticc" localSheetId="10">#REF!</definedName>
    <definedName name="sticc" localSheetId="11">#REF!</definedName>
    <definedName name="sticc" localSheetId="6">#REF!</definedName>
    <definedName name="sticc">#REF!</definedName>
    <definedName name="sticla" localSheetId="10">'[7]Prognoza deseuri ambalaje'!#REF!</definedName>
    <definedName name="sticla" localSheetId="11">'[7]Prognoza deseuri ambalaje'!#REF!</definedName>
    <definedName name="sticla" localSheetId="6">'[7]Prognoza deseuri ambalaje'!#REF!</definedName>
    <definedName name="sticla" localSheetId="7">'[7]Prognoza deseuri ambalaje'!#REF!</definedName>
    <definedName name="sticla" localSheetId="12">'[7]Prognoza deseuri ambalaje'!#REF!</definedName>
    <definedName name="sticla" localSheetId="8">'[7]Prognoza deseuri ambalaje'!#REF!</definedName>
    <definedName name="sticla">'[7]Prognoza deseuri ambalaje'!#REF!</definedName>
    <definedName name="sticla1" localSheetId="10">'[1]Prognoza deseuri ambalaje'!#REF!</definedName>
    <definedName name="sticla1" localSheetId="11">'[1]Prognoza deseuri ambalaje'!#REF!</definedName>
    <definedName name="sticla1" localSheetId="6">'[1]Prognoza deseuri ambalaje'!#REF!</definedName>
    <definedName name="sticla1" localSheetId="7">'[1]Prognoza deseuri ambalaje'!#REF!</definedName>
    <definedName name="sticla1" localSheetId="12">'[1]Prognoza deseuri ambalaje'!#REF!</definedName>
    <definedName name="sticla1" localSheetId="8">'[1]Prognoza deseuri ambalaje'!#REF!</definedName>
    <definedName name="sticla1">'[1]Prognoza deseuri ambalaje'!#REF!</definedName>
    <definedName name="sticla11" localSheetId="10">'[1]Prognoza deseuri ambalaje'!#REF!</definedName>
    <definedName name="sticla11" localSheetId="11">'[1]Prognoza deseuri ambalaje'!#REF!</definedName>
    <definedName name="sticla11" localSheetId="6">'[1]Prognoza deseuri ambalaje'!#REF!</definedName>
    <definedName name="sticla11">'[1]Prognoza deseuri ambalaje'!#REF!</definedName>
    <definedName name="sticlaa" localSheetId="10">'[7]Prognoza deseuri ambalaje'!#REF!</definedName>
    <definedName name="sticlaa" localSheetId="11">'[7]Prognoza deseuri ambalaje'!#REF!</definedName>
    <definedName name="sticlaa" localSheetId="6">'[7]Prognoza deseuri ambalaje'!#REF!</definedName>
    <definedName name="sticlaa">'[7]Prognoza deseuri ambalaje'!#REF!</definedName>
    <definedName name="sticlatotal" localSheetId="10">#REF!</definedName>
    <definedName name="sticlatotal" localSheetId="11">#REF!</definedName>
    <definedName name="sticlatotal" localSheetId="6">#REF!</definedName>
    <definedName name="sticlatotal" localSheetId="7">#REF!</definedName>
    <definedName name="sticlatotal" localSheetId="12">#REF!</definedName>
    <definedName name="sticlatotal" localSheetId="8">#REF!</definedName>
    <definedName name="sticlatotal">#REF!</definedName>
    <definedName name="sticlatotall" localSheetId="10">#REF!</definedName>
    <definedName name="sticlatotall" localSheetId="11">#REF!</definedName>
    <definedName name="sticlatotall" localSheetId="6">#REF!</definedName>
    <definedName name="sticlatotall">#REF!</definedName>
    <definedName name="stt" localSheetId="10">#REF!</definedName>
    <definedName name="stt" localSheetId="11">#REF!</definedName>
    <definedName name="stt" localSheetId="6">#REF!</definedName>
    <definedName name="stt">#REF!</definedName>
    <definedName name="Tarifs2" localSheetId="10">#REF!</definedName>
    <definedName name="Tarifs2" localSheetId="11">#REF!</definedName>
    <definedName name="Tarifs2" localSheetId="6">#REF!</definedName>
    <definedName name="Tarifs2" localSheetId="7">#REF!</definedName>
    <definedName name="Tarifs2" localSheetId="12">#REF!</definedName>
    <definedName name="Tarifs2" localSheetId="8">#REF!</definedName>
    <definedName name="Tarifs2">#REF!</definedName>
    <definedName name="Tarifs22" localSheetId="10">#REF!</definedName>
    <definedName name="Tarifs22" localSheetId="11">#REF!</definedName>
    <definedName name="Tarifs22" localSheetId="6">#REF!</definedName>
    <definedName name="Tarifs22">#REF!</definedName>
    <definedName name="taxRate" localSheetId="10">#REF!</definedName>
    <definedName name="taxRate" localSheetId="11">#REF!</definedName>
    <definedName name="taxRate" localSheetId="6">#REF!</definedName>
    <definedName name="taxRate" localSheetId="7">#REF!</definedName>
    <definedName name="taxRate" localSheetId="12">#REF!</definedName>
    <definedName name="taxRate" localSheetId="8">#REF!</definedName>
    <definedName name="taxRate">#REF!</definedName>
    <definedName name="taxRatee" localSheetId="10">#REF!</definedName>
    <definedName name="taxRatee" localSheetId="11">#REF!</definedName>
    <definedName name="taxRatee" localSheetId="6">#REF!</definedName>
    <definedName name="taxRatee">#REF!</definedName>
    <definedName name="textile_rur_2008">'[2]Mass Z1 Craiova'!$F$130</definedName>
    <definedName name="textile_rur_2013">'[2]Mass Z1 Craiova'!$J$130</definedName>
    <definedName name="textile_rur_2019">'[2]Mass Z1 Craiova'!$N$130</definedName>
    <definedName name="totalIterations" localSheetId="10">#REF!</definedName>
    <definedName name="totalIterations" localSheetId="11">#REF!</definedName>
    <definedName name="totalIterations" localSheetId="6">#REF!</definedName>
    <definedName name="totalIterations" localSheetId="7">#REF!</definedName>
    <definedName name="totalIterations" localSheetId="12">#REF!</definedName>
    <definedName name="totalIterations" localSheetId="8">#REF!</definedName>
    <definedName name="totalIterations">#REF!</definedName>
    <definedName name="totalIterationss" localSheetId="10">#REF!</definedName>
    <definedName name="totalIterationss" localSheetId="11">#REF!</definedName>
    <definedName name="totalIterationss" localSheetId="6">#REF!</definedName>
    <definedName name="totalIterationss">#REF!</definedName>
    <definedName name="unc_pack_ind" localSheetId="10">'[9]Alternative 1 Dolj'!#REF!</definedName>
    <definedName name="unc_pack_ind" localSheetId="11">'[9]Alternative 1 Dolj'!#REF!</definedName>
    <definedName name="unc_pack_ind" localSheetId="6">'[9]Alternative 1 Dolj'!#REF!</definedName>
    <definedName name="unc_pack_ind" localSheetId="7">'[9]Alternative 1 Dolj'!#REF!</definedName>
    <definedName name="unc_pack_ind" localSheetId="12">'[9]Alternative 1 Dolj'!#REF!</definedName>
    <definedName name="unc_pack_ind" localSheetId="8">'[9]Alternative 1 Dolj'!#REF!</definedName>
    <definedName name="unc_pack_ind">'[9]Alternative 1 Dolj'!#REF!</definedName>
    <definedName name="upperEcoBenefits" localSheetId="10">#REF!</definedName>
    <definedName name="upperEcoBenefits" localSheetId="11">#REF!</definedName>
    <definedName name="upperEcoBenefits" localSheetId="6">#REF!</definedName>
    <definedName name="upperEcoBenefits" localSheetId="7">#REF!</definedName>
    <definedName name="upperEcoBenefits" localSheetId="12">#REF!</definedName>
    <definedName name="upperEcoBenefits" localSheetId="8">#REF!</definedName>
    <definedName name="upperEcoBenefits">#REF!</definedName>
    <definedName name="upperEcoCostsA" localSheetId="10">#REF!</definedName>
    <definedName name="upperEcoCostsA" localSheetId="11">#REF!</definedName>
    <definedName name="upperEcoCostsA" localSheetId="6">#REF!</definedName>
    <definedName name="upperEcoCostsA" localSheetId="7">#REF!</definedName>
    <definedName name="upperEcoCostsA" localSheetId="12">#REF!</definedName>
    <definedName name="upperEcoCostsA" localSheetId="8">#REF!</definedName>
    <definedName name="upperEcoCostsA">#REF!</definedName>
    <definedName name="upperEcoCostsB" localSheetId="10">#REF!</definedName>
    <definedName name="upperEcoCostsB" localSheetId="11">#REF!</definedName>
    <definedName name="upperEcoCostsB" localSheetId="6">#REF!</definedName>
    <definedName name="upperEcoCostsB" localSheetId="7">#REF!</definedName>
    <definedName name="upperEcoCostsB" localSheetId="12">#REF!</definedName>
    <definedName name="upperEcoCostsB" localSheetId="8">#REF!</definedName>
    <definedName name="upperEcoCostsB">#REF!</definedName>
    <definedName name="upperInvestment" localSheetId="10">#REF!</definedName>
    <definedName name="upperInvestment" localSheetId="11">#REF!</definedName>
    <definedName name="upperInvestment" localSheetId="6">#REF!</definedName>
    <definedName name="upperInvestment" localSheetId="7">#REF!</definedName>
    <definedName name="upperInvestment" localSheetId="12">#REF!</definedName>
    <definedName name="upperInvestment" localSheetId="8">#REF!</definedName>
    <definedName name="upperInvestment">#REF!</definedName>
    <definedName name="upperOandM" localSheetId="10">#REF!</definedName>
    <definedName name="upperOandM" localSheetId="11">#REF!</definedName>
    <definedName name="upperOandM" localSheetId="6">#REF!</definedName>
    <definedName name="upperOandM" localSheetId="7">#REF!</definedName>
    <definedName name="upperOandM" localSheetId="12">#REF!</definedName>
    <definedName name="upperOandM" localSheetId="8">#REF!</definedName>
    <definedName name="upperOandM">#REF!</definedName>
    <definedName name="upperRevenues" localSheetId="10">#REF!</definedName>
    <definedName name="upperRevenues" localSheetId="11">#REF!</definedName>
    <definedName name="upperRevenues" localSheetId="6">#REF!</definedName>
    <definedName name="upperRevenues" localSheetId="7">#REF!</definedName>
    <definedName name="upperRevenues" localSheetId="12">#REF!</definedName>
    <definedName name="upperRevenues" localSheetId="8">#REF!</definedName>
    <definedName name="upperRevenues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8" l="1"/>
  <c r="D51" i="8" l="1"/>
  <c r="D55" i="8" s="1"/>
  <c r="D54" i="8"/>
  <c r="D53" i="8"/>
  <c r="C53" i="8"/>
  <c r="C52" i="8"/>
  <c r="E52" i="8" s="1"/>
  <c r="C51" i="8"/>
  <c r="F21" i="5" l="1"/>
  <c r="G21" i="5"/>
  <c r="H21" i="5"/>
  <c r="I21" i="5"/>
  <c r="E21" i="5"/>
  <c r="F12" i="5"/>
  <c r="G12" i="5"/>
  <c r="H12" i="5"/>
  <c r="I12" i="5"/>
  <c r="E12" i="5"/>
  <c r="G16" i="13" l="1"/>
  <c r="D48" i="18" l="1"/>
  <c r="E48" i="18" s="1"/>
  <c r="D51" i="18" s="1"/>
  <c r="C54" i="8" l="1"/>
  <c r="AH19" i="5" l="1"/>
  <c r="AH10" i="5"/>
  <c r="D7" i="19" l="1"/>
  <c r="D6" i="19"/>
  <c r="D5" i="19"/>
  <c r="D4" i="19"/>
  <c r="C6" i="19"/>
  <c r="E6" i="19" s="1"/>
  <c r="C5" i="19"/>
  <c r="C4" i="19"/>
  <c r="C8" i="19" s="1"/>
  <c r="C7" i="19"/>
  <c r="E7" i="19" s="1"/>
  <c r="G43" i="13"/>
  <c r="G49" i="13" s="1"/>
  <c r="G15" i="13"/>
  <c r="G24" i="13"/>
  <c r="N55" i="13"/>
  <c r="O55" i="13"/>
  <c r="P55" i="13"/>
  <c r="Q55" i="13"/>
  <c r="R55" i="13"/>
  <c r="S55" i="13"/>
  <c r="T55" i="13"/>
  <c r="U55" i="13"/>
  <c r="V55" i="13"/>
  <c r="W55" i="13"/>
  <c r="X55" i="13"/>
  <c r="Y55" i="13"/>
  <c r="Z55" i="13"/>
  <c r="AA55" i="13"/>
  <c r="AB55" i="13"/>
  <c r="AC55" i="13"/>
  <c r="AD55" i="13"/>
  <c r="AE55" i="13"/>
  <c r="AF55" i="13"/>
  <c r="AG55" i="13"/>
  <c r="AH55" i="13"/>
  <c r="AI55" i="13"/>
  <c r="K55" i="13"/>
  <c r="L55" i="13"/>
  <c r="M55" i="13"/>
  <c r="L54" i="13"/>
  <c r="M54" i="13"/>
  <c r="N54" i="13"/>
  <c r="O54" i="13"/>
  <c r="P54" i="13"/>
  <c r="Q54" i="13"/>
  <c r="R54" i="13"/>
  <c r="S54" i="13"/>
  <c r="T54" i="13"/>
  <c r="U54" i="13"/>
  <c r="V54" i="13"/>
  <c r="W54" i="13"/>
  <c r="X54" i="13"/>
  <c r="Y54" i="13"/>
  <c r="Z54" i="13"/>
  <c r="AA54" i="13"/>
  <c r="AB54" i="13"/>
  <c r="AC54" i="13"/>
  <c r="AD54" i="13"/>
  <c r="AE54" i="13"/>
  <c r="AF54" i="13"/>
  <c r="AG54" i="13"/>
  <c r="AH54" i="13"/>
  <c r="AI54" i="13"/>
  <c r="D8" i="19" l="1"/>
  <c r="E5" i="19"/>
  <c r="E4" i="19"/>
  <c r="E8" i="19" l="1"/>
  <c r="L29" i="13"/>
  <c r="N29" i="13" l="1"/>
  <c r="M29" i="13"/>
  <c r="O29" i="13" l="1"/>
  <c r="P29" i="13"/>
  <c r="R29" i="13" l="1"/>
  <c r="Q29" i="13" l="1"/>
  <c r="S29" i="13" l="1"/>
  <c r="T29" i="13" l="1"/>
  <c r="U29" i="13"/>
  <c r="V29" i="13" l="1"/>
  <c r="W29" i="13"/>
  <c r="X29" i="13" l="1"/>
  <c r="Y29" i="13"/>
  <c r="Z29" i="13" l="1"/>
  <c r="AA29" i="13" l="1"/>
  <c r="AB29" i="13"/>
  <c r="AC29" i="13" l="1"/>
  <c r="AD29" i="13" l="1"/>
  <c r="AE29" i="13" l="1"/>
  <c r="AF29" i="13" l="1"/>
  <c r="AG29" i="13"/>
  <c r="AH29" i="13" l="1"/>
  <c r="AI29" i="13" l="1"/>
  <c r="L58" i="13" l="1"/>
  <c r="M58" i="13"/>
  <c r="N58" i="13"/>
  <c r="O58" i="13"/>
  <c r="P58" i="13"/>
  <c r="Q58" i="13"/>
  <c r="R58" i="13"/>
  <c r="S58" i="13"/>
  <c r="T58" i="13"/>
  <c r="U58" i="13"/>
  <c r="V58" i="13"/>
  <c r="W58" i="13"/>
  <c r="X58" i="13"/>
  <c r="Y58" i="13"/>
  <c r="Z58" i="13"/>
  <c r="AA58" i="13"/>
  <c r="AB58" i="13"/>
  <c r="AC58" i="13"/>
  <c r="AD58" i="13"/>
  <c r="AE58" i="13"/>
  <c r="AF58" i="13"/>
  <c r="AG58" i="13"/>
  <c r="AH58" i="13"/>
  <c r="AI58" i="13"/>
  <c r="M33" i="13"/>
  <c r="N33" i="13"/>
  <c r="O33" i="13"/>
  <c r="P33" i="13"/>
  <c r="Q33" i="13"/>
  <c r="R33" i="13"/>
  <c r="S33" i="13"/>
  <c r="T33" i="13"/>
  <c r="U33" i="13"/>
  <c r="V33" i="13"/>
  <c r="W33" i="13"/>
  <c r="X33" i="13"/>
  <c r="Y33" i="13"/>
  <c r="Z33" i="13"/>
  <c r="AA33" i="13"/>
  <c r="AB33" i="13"/>
  <c r="AC33" i="13"/>
  <c r="AD33" i="13"/>
  <c r="AE33" i="13"/>
  <c r="AF33" i="13"/>
  <c r="AG33" i="13"/>
  <c r="AH33" i="13"/>
  <c r="AI33" i="13"/>
  <c r="L33" i="13"/>
  <c r="G38" i="13" l="1"/>
  <c r="G39" i="13" s="1"/>
  <c r="I49" i="13"/>
  <c r="G13" i="13"/>
  <c r="L9" i="4" l="1"/>
  <c r="L10" i="4"/>
  <c r="L11" i="4"/>
  <c r="I12" i="4"/>
  <c r="I13" i="4"/>
  <c r="L13" i="4"/>
  <c r="I14" i="4"/>
  <c r="L14" i="4" s="1"/>
  <c r="L15" i="4"/>
  <c r="I16" i="4"/>
  <c r="I17" i="4"/>
  <c r="I18" i="4" s="1"/>
  <c r="I19" i="4" s="1"/>
  <c r="L23" i="4"/>
  <c r="I24" i="4"/>
  <c r="L24" i="4" s="1"/>
  <c r="I25" i="4"/>
  <c r="L25" i="4" s="1"/>
  <c r="I26" i="4"/>
  <c r="K26" i="4" s="1"/>
  <c r="I27" i="4"/>
  <c r="I28" i="4"/>
  <c r="K41" i="4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J247" i="3"/>
  <c r="I247" i="3"/>
  <c r="H247" i="3" s="1"/>
  <c r="K248" i="3"/>
  <c r="J55" i="13" s="1"/>
  <c r="K247" i="3"/>
  <c r="J30" i="13" s="1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D105" i="18"/>
  <c r="C105" i="18"/>
  <c r="D104" i="18"/>
  <c r="C104" i="18"/>
  <c r="D99" i="18"/>
  <c r="C99" i="18"/>
  <c r="E99" i="18" s="1"/>
  <c r="D98" i="18"/>
  <c r="C98" i="18"/>
  <c r="D97" i="18"/>
  <c r="C97" i="18"/>
  <c r="E104" i="18" l="1"/>
  <c r="E97" i="18"/>
  <c r="E105" i="18"/>
  <c r="J248" i="3"/>
  <c r="L16" i="4"/>
  <c r="E98" i="18"/>
  <c r="K28" i="4"/>
  <c r="K27" i="4"/>
  <c r="I29" i="4"/>
  <c r="I30" i="4" s="1"/>
  <c r="I55" i="13" l="1"/>
  <c r="I248" i="3"/>
  <c r="I31" i="4"/>
  <c r="I34" i="4" s="1"/>
  <c r="I33" i="4"/>
  <c r="K30" i="4"/>
  <c r="I32" i="4"/>
  <c r="I35" i="4" s="1"/>
  <c r="D61" i="8"/>
  <c r="D60" i="8"/>
  <c r="C61" i="8"/>
  <c r="C60" i="8"/>
  <c r="D59" i="8"/>
  <c r="C59" i="8"/>
  <c r="H30" i="13"/>
  <c r="I30" i="13"/>
  <c r="AL244" i="3"/>
  <c r="AL243" i="3"/>
  <c r="H55" i="13" l="1"/>
  <c r="H248" i="3"/>
  <c r="G55" i="13" s="1"/>
  <c r="K33" i="4"/>
  <c r="K32" i="4"/>
  <c r="K35" i="4" s="1"/>
  <c r="K31" i="4"/>
  <c r="K34" i="4" s="1"/>
  <c r="D58" i="8"/>
  <c r="D62" i="8" s="1"/>
  <c r="G30" i="13" l="1"/>
  <c r="C58" i="8"/>
  <c r="C62" i="8" s="1"/>
  <c r="C83" i="8"/>
  <c r="C89" i="8" l="1"/>
  <c r="C92" i="8"/>
  <c r="C90" i="8"/>
  <c r="C88" i="8"/>
  <c r="C87" i="8"/>
  <c r="C86" i="8"/>
  <c r="C85" i="8"/>
  <c r="C84" i="8"/>
  <c r="C91" i="8" s="1"/>
  <c r="D83" i="8"/>
  <c r="D89" i="8" s="1"/>
  <c r="E89" i="8" s="1"/>
  <c r="M6" i="8"/>
  <c r="D84" i="8" l="1"/>
  <c r="D86" i="8"/>
  <c r="D90" i="8"/>
  <c r="D85" i="8"/>
  <c r="D87" i="8"/>
  <c r="D88" i="8"/>
  <c r="D92" i="8"/>
  <c r="E61" i="8"/>
  <c r="M34" i="8"/>
  <c r="AA34" i="8"/>
  <c r="AB34" i="8"/>
  <c r="AC34" i="8"/>
  <c r="AD34" i="8"/>
  <c r="AE34" i="8"/>
  <c r="AF34" i="8"/>
  <c r="AG34" i="8"/>
  <c r="AH34" i="8"/>
  <c r="AI34" i="8"/>
  <c r="AA35" i="8"/>
  <c r="AB35" i="8"/>
  <c r="AC35" i="8"/>
  <c r="AD35" i="8"/>
  <c r="AE35" i="8"/>
  <c r="AF35" i="8"/>
  <c r="AG35" i="8"/>
  <c r="AH35" i="8"/>
  <c r="AI35" i="8"/>
  <c r="M31" i="8"/>
  <c r="AA31" i="8"/>
  <c r="AB31" i="8"/>
  <c r="AC31" i="8"/>
  <c r="AD31" i="8"/>
  <c r="AE31" i="8"/>
  <c r="AF31" i="8"/>
  <c r="AG31" i="8"/>
  <c r="AH31" i="8"/>
  <c r="AI31" i="8"/>
  <c r="AA32" i="8"/>
  <c r="AB32" i="8"/>
  <c r="AC32" i="8"/>
  <c r="AD32" i="8"/>
  <c r="AE32" i="8"/>
  <c r="AF32" i="8"/>
  <c r="AG32" i="8"/>
  <c r="AH32" i="8"/>
  <c r="AI32" i="8"/>
  <c r="M25" i="8"/>
  <c r="AA25" i="8"/>
  <c r="AB25" i="8"/>
  <c r="AC25" i="8"/>
  <c r="AD25" i="8"/>
  <c r="AE25" i="8"/>
  <c r="AF25" i="8"/>
  <c r="AG25" i="8"/>
  <c r="AH25" i="8"/>
  <c r="AI25" i="8"/>
  <c r="AA26" i="8"/>
  <c r="AB26" i="8"/>
  <c r="AC26" i="8"/>
  <c r="AD26" i="8"/>
  <c r="AE26" i="8"/>
  <c r="AF26" i="8"/>
  <c r="AG26" i="8"/>
  <c r="AH26" i="8"/>
  <c r="AI26" i="8"/>
  <c r="M22" i="8"/>
  <c r="AA22" i="8"/>
  <c r="AB22" i="8"/>
  <c r="AC22" i="8"/>
  <c r="AD22" i="8"/>
  <c r="AE22" i="8"/>
  <c r="AF22" i="8"/>
  <c r="AG22" i="8"/>
  <c r="AH22" i="8"/>
  <c r="AI22" i="8"/>
  <c r="AA23" i="8"/>
  <c r="AB23" i="8"/>
  <c r="AC23" i="8"/>
  <c r="AD23" i="8"/>
  <c r="AE23" i="8"/>
  <c r="AF23" i="8"/>
  <c r="AG23" i="8"/>
  <c r="AH23" i="8"/>
  <c r="AI23" i="8"/>
  <c r="M19" i="8"/>
  <c r="AA19" i="8"/>
  <c r="AB19" i="8"/>
  <c r="AC19" i="8"/>
  <c r="AD19" i="8"/>
  <c r="AE19" i="8"/>
  <c r="AF19" i="8"/>
  <c r="AG19" i="8"/>
  <c r="AH19" i="8"/>
  <c r="AI19" i="8"/>
  <c r="AA20" i="8"/>
  <c r="AB20" i="8"/>
  <c r="AC20" i="8"/>
  <c r="AD20" i="8"/>
  <c r="AE20" i="8"/>
  <c r="AF20" i="8"/>
  <c r="AG20" i="8"/>
  <c r="AH20" i="8"/>
  <c r="AI20" i="8"/>
  <c r="M16" i="8"/>
  <c r="AA16" i="8"/>
  <c r="AB16" i="8"/>
  <c r="AC16" i="8"/>
  <c r="AD16" i="8"/>
  <c r="AD28" i="8" s="1"/>
  <c r="AE16" i="8"/>
  <c r="AE28" i="8" s="1"/>
  <c r="AF16" i="8"/>
  <c r="AG16" i="8"/>
  <c r="AH16" i="8"/>
  <c r="AI16" i="8"/>
  <c r="AA17" i="8"/>
  <c r="AB17" i="8"/>
  <c r="AC17" i="8"/>
  <c r="AC29" i="8" s="1"/>
  <c r="AD17" i="8"/>
  <c r="AD29" i="8" s="1"/>
  <c r="AE17" i="8"/>
  <c r="AF17" i="8"/>
  <c r="AG17" i="8"/>
  <c r="AH17" i="8"/>
  <c r="AI17" i="8"/>
  <c r="M13" i="8"/>
  <c r="AA13" i="8"/>
  <c r="AB13" i="8"/>
  <c r="AB28" i="8" s="1"/>
  <c r="AC13" i="8"/>
  <c r="AD13" i="8"/>
  <c r="AE13" i="8"/>
  <c r="AF13" i="8"/>
  <c r="AG13" i="8"/>
  <c r="AH13" i="8"/>
  <c r="AI13" i="8"/>
  <c r="AA14" i="8"/>
  <c r="AA29" i="8" s="1"/>
  <c r="AB14" i="8"/>
  <c r="AC14" i="8"/>
  <c r="AD14" i="8"/>
  <c r="AE14" i="8"/>
  <c r="AF14" i="8"/>
  <c r="AG14" i="8"/>
  <c r="AH14" i="8"/>
  <c r="AI14" i="8"/>
  <c r="AI29" i="8" s="1"/>
  <c r="M10" i="8"/>
  <c r="AA10" i="8"/>
  <c r="AA28" i="8" s="1"/>
  <c r="AB10" i="8"/>
  <c r="AC10" i="8"/>
  <c r="AC28" i="8" s="1"/>
  <c r="AD10" i="8"/>
  <c r="AE10" i="8"/>
  <c r="AF10" i="8"/>
  <c r="AF28" i="8" s="1"/>
  <c r="AG10" i="8"/>
  <c r="AG28" i="8" s="1"/>
  <c r="AH10" i="8"/>
  <c r="AH28" i="8" s="1"/>
  <c r="AI10" i="8"/>
  <c r="AI28" i="8" s="1"/>
  <c r="AA11" i="8"/>
  <c r="AB11" i="8"/>
  <c r="AB29" i="8" s="1"/>
  <c r="AC11" i="8"/>
  <c r="AD11" i="8"/>
  <c r="AE11" i="8"/>
  <c r="AE29" i="8" s="1"/>
  <c r="AF11" i="8"/>
  <c r="AF29" i="8" s="1"/>
  <c r="AG11" i="8"/>
  <c r="AG29" i="8" s="1"/>
  <c r="AH11" i="8"/>
  <c r="AH29" i="8" s="1"/>
  <c r="AI11" i="8"/>
  <c r="D91" i="8" l="1"/>
  <c r="M28" i="8"/>
  <c r="D54" i="18"/>
  <c r="D53" i="18"/>
  <c r="C53" i="18"/>
  <c r="D52" i="18"/>
  <c r="C52" i="18"/>
  <c r="C51" i="18"/>
  <c r="C54" i="18"/>
  <c r="C61" i="18" s="1"/>
  <c r="F40" i="18"/>
  <c r="G40" i="18" s="1"/>
  <c r="H40" i="18" s="1"/>
  <c r="I40" i="18" s="1"/>
  <c r="J40" i="18" s="1"/>
  <c r="K40" i="18" s="1"/>
  <c r="L40" i="18" s="1"/>
  <c r="M40" i="18" s="1"/>
  <c r="N40" i="18" s="1"/>
  <c r="O40" i="18" s="1"/>
  <c r="P40" i="18" s="1"/>
  <c r="Q40" i="18" s="1"/>
  <c r="R40" i="18" s="1"/>
  <c r="S40" i="18" s="1"/>
  <c r="T40" i="18" s="1"/>
  <c r="U40" i="18" s="1"/>
  <c r="V40" i="18" s="1"/>
  <c r="W40" i="18" s="1"/>
  <c r="X40" i="18" s="1"/>
  <c r="Y40" i="18" s="1"/>
  <c r="Z40" i="18" s="1"/>
  <c r="AA40" i="18" s="1"/>
  <c r="AB40" i="18" s="1"/>
  <c r="AC40" i="18" s="1"/>
  <c r="AD40" i="18" s="1"/>
  <c r="AE40" i="18" s="1"/>
  <c r="AF40" i="18" s="1"/>
  <c r="AG40" i="18" s="1"/>
  <c r="AI35" i="18"/>
  <c r="AH35" i="18"/>
  <c r="AG35" i="18"/>
  <c r="AG33" i="18" s="1"/>
  <c r="AF35" i="18"/>
  <c r="AE35" i="18"/>
  <c r="AD35" i="18"/>
  <c r="AC35" i="18"/>
  <c r="AB35" i="18"/>
  <c r="AA35" i="18"/>
  <c r="AI34" i="18"/>
  <c r="AH34" i="18"/>
  <c r="AG34" i="18"/>
  <c r="AF34" i="18"/>
  <c r="AE34" i="18"/>
  <c r="AE33" i="18" s="1"/>
  <c r="AD34" i="18"/>
  <c r="AC34" i="18"/>
  <c r="AC33" i="18" s="1"/>
  <c r="AB34" i="18"/>
  <c r="AA34" i="18"/>
  <c r="AH33" i="18"/>
  <c r="AI32" i="18"/>
  <c r="AH32" i="18"/>
  <c r="AG32" i="18"/>
  <c r="AF32" i="18"/>
  <c r="AE32" i="18"/>
  <c r="AD32" i="18"/>
  <c r="AC32" i="18"/>
  <c r="AB32" i="18"/>
  <c r="AA32" i="18"/>
  <c r="AD30" i="18"/>
  <c r="AI26" i="18"/>
  <c r="AH26" i="18"/>
  <c r="AG26" i="18"/>
  <c r="AF26" i="18"/>
  <c r="AE26" i="18"/>
  <c r="AD26" i="18"/>
  <c r="AD24" i="18" s="1"/>
  <c r="AC26" i="18"/>
  <c r="AB26" i="18"/>
  <c r="AA26" i="18"/>
  <c r="AI25" i="18"/>
  <c r="AH25" i="18"/>
  <c r="AG25" i="18"/>
  <c r="AG24" i="18" s="1"/>
  <c r="AF25" i="18"/>
  <c r="AE25" i="18"/>
  <c r="AD25" i="18"/>
  <c r="AC25" i="18"/>
  <c r="AC24" i="18" s="1"/>
  <c r="AB25" i="18"/>
  <c r="AB24" i="18" s="1"/>
  <c r="AA25" i="18"/>
  <c r="AA24" i="18" s="1"/>
  <c r="AI24" i="18"/>
  <c r="AE24" i="18"/>
  <c r="AI23" i="18"/>
  <c r="AH23" i="18"/>
  <c r="AG23" i="18"/>
  <c r="AF23" i="18"/>
  <c r="AE23" i="18"/>
  <c r="AD23" i="18"/>
  <c r="AC23" i="18"/>
  <c r="AB23" i="18"/>
  <c r="AA23" i="18"/>
  <c r="AI22" i="18"/>
  <c r="AH22" i="18"/>
  <c r="AH21" i="18" s="1"/>
  <c r="AG22" i="18"/>
  <c r="AF22" i="18"/>
  <c r="AF21" i="18" s="1"/>
  <c r="AE22" i="18"/>
  <c r="AD22" i="18"/>
  <c r="AC22" i="18"/>
  <c r="AB22" i="18"/>
  <c r="AA22" i="18"/>
  <c r="AG21" i="18"/>
  <c r="AC21" i="18"/>
  <c r="AB21" i="18"/>
  <c r="AI20" i="18"/>
  <c r="AH20" i="18"/>
  <c r="AG20" i="18"/>
  <c r="AF20" i="18"/>
  <c r="AE20" i="18"/>
  <c r="AD20" i="18"/>
  <c r="AC20" i="18"/>
  <c r="AB20" i="18"/>
  <c r="AB18" i="18" s="1"/>
  <c r="AA20" i="18"/>
  <c r="AI19" i="18"/>
  <c r="AH19" i="18"/>
  <c r="AG19" i="18"/>
  <c r="AF19" i="18"/>
  <c r="AE19" i="18"/>
  <c r="AD19" i="18"/>
  <c r="AD18" i="18" s="1"/>
  <c r="AC19" i="18"/>
  <c r="AC18" i="18" s="1"/>
  <c r="AB19" i="18"/>
  <c r="AA19" i="18"/>
  <c r="AA18" i="18" s="1"/>
  <c r="AH18" i="18"/>
  <c r="AG18" i="18"/>
  <c r="AI17" i="18"/>
  <c r="AH17" i="18"/>
  <c r="AG17" i="18"/>
  <c r="AG15" i="18" s="1"/>
  <c r="AF17" i="18"/>
  <c r="AE17" i="18"/>
  <c r="AD17" i="18"/>
  <c r="AC17" i="18"/>
  <c r="AB17" i="18"/>
  <c r="AA17" i="18"/>
  <c r="AI16" i="18"/>
  <c r="AI28" i="18" s="1"/>
  <c r="AH16" i="18"/>
  <c r="AG16" i="18"/>
  <c r="AF16" i="18"/>
  <c r="AF15" i="18" s="1"/>
  <c r="AE16" i="18"/>
  <c r="AD16" i="18"/>
  <c r="AD15" i="18" s="1"/>
  <c r="AC16" i="18"/>
  <c r="AB16" i="18"/>
  <c r="AA16" i="18"/>
  <c r="AA28" i="18" s="1"/>
  <c r="AH15" i="18"/>
  <c r="AI14" i="18"/>
  <c r="AH14" i="18"/>
  <c r="AG14" i="18"/>
  <c r="AF14" i="18"/>
  <c r="AF12" i="18" s="1"/>
  <c r="AE14" i="18"/>
  <c r="AD14" i="18"/>
  <c r="AC14" i="18"/>
  <c r="AC29" i="18" s="1"/>
  <c r="AB14" i="18"/>
  <c r="AA14" i="18"/>
  <c r="AI13" i="18"/>
  <c r="AH13" i="18"/>
  <c r="AG13" i="18"/>
  <c r="AF13" i="18"/>
  <c r="AE13" i="18"/>
  <c r="AE12" i="18" s="1"/>
  <c r="AD13" i="18"/>
  <c r="AC13" i="18"/>
  <c r="AB13" i="18"/>
  <c r="AA13" i="18"/>
  <c r="AI12" i="18"/>
  <c r="AB12" i="18"/>
  <c r="AA12" i="18"/>
  <c r="AI11" i="18"/>
  <c r="AH11" i="18"/>
  <c r="AG11" i="18"/>
  <c r="AF11" i="18"/>
  <c r="AF29" i="18" s="1"/>
  <c r="AE11" i="18"/>
  <c r="AD11" i="18"/>
  <c r="AC11" i="18"/>
  <c r="AB11" i="18"/>
  <c r="AB9" i="18" s="1"/>
  <c r="AA11" i="18"/>
  <c r="AI10" i="18"/>
  <c r="AH10" i="18"/>
  <c r="AG10" i="18"/>
  <c r="AF10" i="18"/>
  <c r="AF9" i="18" s="1"/>
  <c r="AE10" i="18"/>
  <c r="AD10" i="18"/>
  <c r="AC10" i="18"/>
  <c r="AC28" i="18" s="1"/>
  <c r="AB10" i="18"/>
  <c r="AB28" i="18" s="1"/>
  <c r="AA10" i="18"/>
  <c r="AG9" i="18"/>
  <c r="AI8" i="18"/>
  <c r="AI30" i="18" s="1"/>
  <c r="AH8" i="18"/>
  <c r="AH30" i="18" s="1"/>
  <c r="AG8" i="18"/>
  <c r="AG30" i="18" s="1"/>
  <c r="AF8" i="18"/>
  <c r="AF30" i="18" s="1"/>
  <c r="AE8" i="18"/>
  <c r="AE30" i="18" s="1"/>
  <c r="AD8" i="18"/>
  <c r="AC8" i="18"/>
  <c r="AC30" i="18" s="1"/>
  <c r="AB8" i="18"/>
  <c r="AB30" i="18" s="1"/>
  <c r="AA8" i="18"/>
  <c r="AA30" i="18" s="1"/>
  <c r="Z6" i="18"/>
  <c r="Z22" i="18" s="1"/>
  <c r="Y6" i="18"/>
  <c r="Y13" i="18" s="1"/>
  <c r="X6" i="18"/>
  <c r="X34" i="18" s="1"/>
  <c r="W6" i="18"/>
  <c r="W19" i="18" s="1"/>
  <c r="V6" i="18"/>
  <c r="V22" i="18" s="1"/>
  <c r="U6" i="18"/>
  <c r="U22" i="18" s="1"/>
  <c r="T6" i="18"/>
  <c r="T34" i="18" s="1"/>
  <c r="F3" i="18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AH3" i="18" s="1"/>
  <c r="AI3" i="18" s="1"/>
  <c r="AE21" i="18" l="1"/>
  <c r="AD29" i="18"/>
  <c r="AB15" i="18"/>
  <c r="AE18" i="18"/>
  <c r="AH24" i="18"/>
  <c r="AD33" i="18"/>
  <c r="AG37" i="18"/>
  <c r="AG28" i="18"/>
  <c r="AC15" i="18"/>
  <c r="AF18" i="18"/>
  <c r="AH12" i="18"/>
  <c r="AE28" i="18"/>
  <c r="AA21" i="18"/>
  <c r="AI21" i="18"/>
  <c r="AB29" i="18"/>
  <c r="AB27" i="18" s="1"/>
  <c r="AF33" i="18"/>
  <c r="AD12" i="18"/>
  <c r="AH29" i="18"/>
  <c r="AI18" i="18"/>
  <c r="AB33" i="18"/>
  <c r="AD21" i="18"/>
  <c r="AF24" i="18"/>
  <c r="AA33" i="18"/>
  <c r="AI33" i="18"/>
  <c r="E54" i="18"/>
  <c r="D61" i="18"/>
  <c r="E61" i="18" s="1"/>
  <c r="S7" i="18"/>
  <c r="D60" i="18"/>
  <c r="Q6" i="18"/>
  <c r="C60" i="18"/>
  <c r="E60" i="18" s="1"/>
  <c r="D83" i="18"/>
  <c r="D85" i="18" s="1"/>
  <c r="D59" i="18"/>
  <c r="C59" i="18"/>
  <c r="C83" i="18"/>
  <c r="G7" i="18"/>
  <c r="G11" i="18" s="1"/>
  <c r="D58" i="18"/>
  <c r="K6" i="18"/>
  <c r="C58" i="18"/>
  <c r="W16" i="18"/>
  <c r="W31" i="18"/>
  <c r="AA43" i="18"/>
  <c r="Z10" i="18"/>
  <c r="X13" i="18"/>
  <c r="X16" i="18"/>
  <c r="W34" i="18"/>
  <c r="T13" i="18"/>
  <c r="X25" i="18"/>
  <c r="Y10" i="18"/>
  <c r="T16" i="18"/>
  <c r="U25" i="18"/>
  <c r="Z31" i="18"/>
  <c r="T25" i="18"/>
  <c r="Z7" i="18"/>
  <c r="Z23" i="18" s="1"/>
  <c r="Z21" i="18" s="1"/>
  <c r="W7" i="18"/>
  <c r="W35" i="18" s="1"/>
  <c r="V7" i="18"/>
  <c r="V26" i="18" s="1"/>
  <c r="E52" i="18"/>
  <c r="O7" i="18"/>
  <c r="J7" i="18"/>
  <c r="P7" i="18"/>
  <c r="R7" i="18"/>
  <c r="Q7" i="18"/>
  <c r="R6" i="18"/>
  <c r="R34" i="18" s="1"/>
  <c r="G6" i="18"/>
  <c r="S35" i="18"/>
  <c r="F7" i="18"/>
  <c r="N7" i="18"/>
  <c r="S23" i="18"/>
  <c r="D55" i="18"/>
  <c r="K7" i="18"/>
  <c r="Z14" i="18"/>
  <c r="E51" i="18"/>
  <c r="O6" i="18"/>
  <c r="J6" i="18"/>
  <c r="I6" i="18"/>
  <c r="M6" i="18"/>
  <c r="F6" i="18"/>
  <c r="N6" i="18"/>
  <c r="H6" i="18"/>
  <c r="L6" i="18"/>
  <c r="V25" i="18"/>
  <c r="V13" i="18"/>
  <c r="AC43" i="18"/>
  <c r="V16" i="18"/>
  <c r="AB43" i="18"/>
  <c r="U16" i="18"/>
  <c r="U34" i="18"/>
  <c r="U31" i="18"/>
  <c r="U19" i="18"/>
  <c r="G26" i="18"/>
  <c r="G14" i="18"/>
  <c r="G32" i="18"/>
  <c r="G17" i="18"/>
  <c r="F32" i="18"/>
  <c r="AA29" i="18"/>
  <c r="AA38" i="18" s="1"/>
  <c r="AA9" i="18"/>
  <c r="AE29" i="18"/>
  <c r="AE38" i="18" s="1"/>
  <c r="AE9" i="18"/>
  <c r="AI29" i="18"/>
  <c r="AI38" i="18" s="1"/>
  <c r="AI9" i="18"/>
  <c r="L7" i="18"/>
  <c r="H7" i="18"/>
  <c r="M7" i="18"/>
  <c r="I7" i="18"/>
  <c r="X7" i="18"/>
  <c r="T7" i="18"/>
  <c r="Y7" i="18"/>
  <c r="Y8" i="18" s="1"/>
  <c r="U7" i="18"/>
  <c r="AA37" i="18"/>
  <c r="AI37" i="18"/>
  <c r="AC27" i="18"/>
  <c r="AE15" i="18"/>
  <c r="Z19" i="18"/>
  <c r="AD38" i="18"/>
  <c r="AC9" i="18"/>
  <c r="V10" i="18"/>
  <c r="AC12" i="18"/>
  <c r="V14" i="18"/>
  <c r="U10" i="18"/>
  <c r="S11" i="18"/>
  <c r="U13" i="18"/>
  <c r="AB37" i="18"/>
  <c r="AA15" i="18"/>
  <c r="AI15" i="18"/>
  <c r="V19" i="18"/>
  <c r="G20" i="18"/>
  <c r="Y22" i="18"/>
  <c r="G23" i="18"/>
  <c r="Y25" i="18"/>
  <c r="AF28" i="18"/>
  <c r="AF27" i="18" s="1"/>
  <c r="AG29" i="18"/>
  <c r="AG38" i="18" s="1"/>
  <c r="V34" i="18"/>
  <c r="G35" i="18"/>
  <c r="AH38" i="18"/>
  <c r="AD9" i="18"/>
  <c r="AD28" i="18"/>
  <c r="AH9" i="18"/>
  <c r="AH28" i="18"/>
  <c r="AH27" i="18" s="1"/>
  <c r="Z25" i="18"/>
  <c r="Z13" i="18"/>
  <c r="Z16" i="18"/>
  <c r="Y16" i="18"/>
  <c r="Y28" i="18" s="1"/>
  <c r="Y34" i="18"/>
  <c r="Y31" i="18"/>
  <c r="Y19" i="18"/>
  <c r="S14" i="18"/>
  <c r="S32" i="18"/>
  <c r="S6" i="18"/>
  <c r="E53" i="18"/>
  <c r="P6" i="18"/>
  <c r="AE37" i="18"/>
  <c r="AC38" i="18"/>
  <c r="Z34" i="18"/>
  <c r="AC37" i="18"/>
  <c r="AC36" i="18" s="1"/>
  <c r="AG12" i="18"/>
  <c r="AF38" i="18"/>
  <c r="V31" i="18"/>
  <c r="T10" i="18"/>
  <c r="X10" i="18"/>
  <c r="W13" i="18"/>
  <c r="T22" i="18"/>
  <c r="X22" i="18"/>
  <c r="W25" i="18"/>
  <c r="C55" i="18"/>
  <c r="W10" i="18"/>
  <c r="T19" i="18"/>
  <c r="X19" i="18"/>
  <c r="W22" i="18"/>
  <c r="T31" i="18"/>
  <c r="X31" i="18"/>
  <c r="E90" i="8"/>
  <c r="AA37" i="8"/>
  <c r="AE37" i="8"/>
  <c r="AI37" i="8"/>
  <c r="AA38" i="8"/>
  <c r="AD38" i="8"/>
  <c r="AE38" i="8"/>
  <c r="AH38" i="8"/>
  <c r="AI38" i="8"/>
  <c r="AB37" i="8"/>
  <c r="AC37" i="8"/>
  <c r="AD37" i="8"/>
  <c r="AF37" i="8"/>
  <c r="AG37" i="8"/>
  <c r="AH37" i="8"/>
  <c r="AB38" i="8"/>
  <c r="AC38" i="8"/>
  <c r="AF38" i="8"/>
  <c r="AG38" i="8"/>
  <c r="AA9" i="8"/>
  <c r="AD9" i="8"/>
  <c r="AE9" i="8"/>
  <c r="AH9" i="8"/>
  <c r="AI9" i="8"/>
  <c r="AB9" i="8"/>
  <c r="AC9" i="8"/>
  <c r="AF9" i="8"/>
  <c r="AG9" i="8"/>
  <c r="AA33" i="8"/>
  <c r="AB33" i="8"/>
  <c r="AC33" i="8"/>
  <c r="AD33" i="8"/>
  <c r="AE33" i="8"/>
  <c r="AF33" i="8"/>
  <c r="AG33" i="8"/>
  <c r="AH33" i="8"/>
  <c r="AI33" i="8"/>
  <c r="AB21" i="8"/>
  <c r="AC21" i="8"/>
  <c r="AF21" i="8"/>
  <c r="AG21" i="8"/>
  <c r="AA21" i="8"/>
  <c r="AD21" i="8"/>
  <c r="AE21" i="8"/>
  <c r="AH21" i="8"/>
  <c r="AI21" i="8"/>
  <c r="AG36" i="18" l="1"/>
  <c r="V24" i="18"/>
  <c r="V20" i="18"/>
  <c r="R25" i="18"/>
  <c r="V17" i="18"/>
  <c r="V15" i="18" s="1"/>
  <c r="AA27" i="18"/>
  <c r="D89" i="18"/>
  <c r="V32" i="18"/>
  <c r="V8" i="18"/>
  <c r="AB38" i="18"/>
  <c r="N16" i="18"/>
  <c r="Q43" i="18"/>
  <c r="Q45" i="18" s="1"/>
  <c r="N43" i="18"/>
  <c r="P20" i="18"/>
  <c r="V44" i="18"/>
  <c r="K34" i="18"/>
  <c r="Q31" i="18"/>
  <c r="H22" i="18"/>
  <c r="I16" i="18"/>
  <c r="R14" i="18"/>
  <c r="J14" i="18"/>
  <c r="W33" i="18"/>
  <c r="L22" i="18"/>
  <c r="M13" i="18"/>
  <c r="R44" i="18"/>
  <c r="F35" i="18"/>
  <c r="Q11" i="18"/>
  <c r="N44" i="18"/>
  <c r="G29" i="18"/>
  <c r="Z44" i="18"/>
  <c r="M43" i="18"/>
  <c r="V43" i="18"/>
  <c r="N35" i="18"/>
  <c r="R16" i="18"/>
  <c r="V23" i="18"/>
  <c r="V21" i="18" s="1"/>
  <c r="D88" i="18"/>
  <c r="D92" i="18"/>
  <c r="D86" i="18"/>
  <c r="D90" i="18"/>
  <c r="D84" i="18"/>
  <c r="D87" i="18"/>
  <c r="J11" i="18"/>
  <c r="J35" i="18"/>
  <c r="W44" i="18"/>
  <c r="W11" i="18"/>
  <c r="Q19" i="18"/>
  <c r="Z35" i="18"/>
  <c r="Z33" i="18" s="1"/>
  <c r="K31" i="18"/>
  <c r="Q13" i="18"/>
  <c r="Q44" i="18"/>
  <c r="R8" i="18"/>
  <c r="G8" i="18"/>
  <c r="R43" i="18"/>
  <c r="X43" i="18"/>
  <c r="K14" i="18"/>
  <c r="J23" i="18"/>
  <c r="J17" i="18"/>
  <c r="W26" i="18"/>
  <c r="W24" i="18" s="1"/>
  <c r="W14" i="18"/>
  <c r="W12" i="18" s="1"/>
  <c r="AC44" i="18"/>
  <c r="AD44" i="18" s="1"/>
  <c r="AE44" i="18" s="1"/>
  <c r="AF44" i="18" s="1"/>
  <c r="AG44" i="18" s="1"/>
  <c r="AH44" i="18" s="1"/>
  <c r="AI44" i="18" s="1"/>
  <c r="W20" i="18"/>
  <c r="W18" i="18" s="1"/>
  <c r="V11" i="18"/>
  <c r="V35" i="18"/>
  <c r="V33" i="18" s="1"/>
  <c r="Q23" i="18"/>
  <c r="S17" i="18"/>
  <c r="Q35" i="18"/>
  <c r="S26" i="18"/>
  <c r="S20" i="18"/>
  <c r="Q25" i="18"/>
  <c r="Q10" i="18"/>
  <c r="Q16" i="18"/>
  <c r="Q22" i="18"/>
  <c r="Q34" i="18"/>
  <c r="O23" i="18"/>
  <c r="N17" i="18"/>
  <c r="N15" i="18" s="1"/>
  <c r="O26" i="18"/>
  <c r="J26" i="18"/>
  <c r="O35" i="18"/>
  <c r="O20" i="18"/>
  <c r="O14" i="18"/>
  <c r="J20" i="18"/>
  <c r="J32" i="18"/>
  <c r="K22" i="18"/>
  <c r="K10" i="18"/>
  <c r="K28" i="18" s="1"/>
  <c r="K13" i="18"/>
  <c r="K25" i="18"/>
  <c r="L31" i="18"/>
  <c r="K19" i="18"/>
  <c r="K16" i="18"/>
  <c r="I31" i="18"/>
  <c r="U28" i="18"/>
  <c r="U37" i="18" s="1"/>
  <c r="V28" i="18"/>
  <c r="V37" i="18" s="1"/>
  <c r="Z20" i="18"/>
  <c r="W32" i="18"/>
  <c r="W30" i="18" s="1"/>
  <c r="W23" i="18"/>
  <c r="W21" i="18" s="1"/>
  <c r="D62" i="18"/>
  <c r="Z32" i="18"/>
  <c r="Z30" i="18" s="1"/>
  <c r="O32" i="18"/>
  <c r="E59" i="18"/>
  <c r="O11" i="18"/>
  <c r="Z8" i="18"/>
  <c r="W17" i="18"/>
  <c r="W15" i="18" s="1"/>
  <c r="W8" i="18"/>
  <c r="Z17" i="18"/>
  <c r="O17" i="18"/>
  <c r="Z11" i="18"/>
  <c r="Z9" i="18" s="1"/>
  <c r="Z26" i="18"/>
  <c r="Z24" i="18" s="1"/>
  <c r="P26" i="18"/>
  <c r="Y43" i="18"/>
  <c r="G31" i="18"/>
  <c r="G30" i="18" s="1"/>
  <c r="R11" i="18"/>
  <c r="C89" i="18"/>
  <c r="C84" i="18"/>
  <c r="C91" i="18" s="1"/>
  <c r="C85" i="18"/>
  <c r="C86" i="18"/>
  <c r="E83" i="18"/>
  <c r="C92" i="18"/>
  <c r="C90" i="18"/>
  <c r="C88" i="18"/>
  <c r="C87" i="18"/>
  <c r="O19" i="18"/>
  <c r="P11" i="18"/>
  <c r="R13" i="18"/>
  <c r="P17" i="18"/>
  <c r="P23" i="18"/>
  <c r="P14" i="18"/>
  <c r="R19" i="18"/>
  <c r="R17" i="18"/>
  <c r="P32" i="18"/>
  <c r="O25" i="18"/>
  <c r="R22" i="18"/>
  <c r="R31" i="18"/>
  <c r="Z15" i="18"/>
  <c r="N34" i="18"/>
  <c r="N33" i="18" s="1"/>
  <c r="R10" i="18"/>
  <c r="R35" i="18"/>
  <c r="R33" i="18" s="1"/>
  <c r="R23" i="18"/>
  <c r="P35" i="18"/>
  <c r="E92" i="8"/>
  <c r="E91" i="8"/>
  <c r="V30" i="18"/>
  <c r="X44" i="18"/>
  <c r="Q17" i="18"/>
  <c r="Q14" i="18"/>
  <c r="Q32" i="18"/>
  <c r="Q26" i="18"/>
  <c r="Q24" i="18" s="1"/>
  <c r="R20" i="18"/>
  <c r="R32" i="18"/>
  <c r="Q8" i="18"/>
  <c r="R26" i="18"/>
  <c r="R24" i="18" s="1"/>
  <c r="Q20" i="18"/>
  <c r="Y44" i="18"/>
  <c r="Q30" i="18"/>
  <c r="U44" i="18"/>
  <c r="O13" i="18"/>
  <c r="T43" i="18"/>
  <c r="O34" i="18"/>
  <c r="N25" i="18"/>
  <c r="M34" i="18"/>
  <c r="N13" i="18"/>
  <c r="M44" i="18"/>
  <c r="M45" i="18" s="1"/>
  <c r="K8" i="18"/>
  <c r="K35" i="18"/>
  <c r="K33" i="18" s="1"/>
  <c r="N20" i="18"/>
  <c r="N32" i="18"/>
  <c r="N8" i="18"/>
  <c r="K20" i="18"/>
  <c r="K32" i="18"/>
  <c r="K11" i="18"/>
  <c r="K17" i="18"/>
  <c r="K15" i="18" s="1"/>
  <c r="G38" i="18"/>
  <c r="G22" i="18"/>
  <c r="G21" i="18" s="1"/>
  <c r="G10" i="18"/>
  <c r="G9" i="18" s="1"/>
  <c r="G16" i="18"/>
  <c r="G15" i="18" s="1"/>
  <c r="G34" i="18"/>
  <c r="G33" i="18" s="1"/>
  <c r="M31" i="18"/>
  <c r="M16" i="18"/>
  <c r="N19" i="18"/>
  <c r="M10" i="18"/>
  <c r="M28" i="18" s="1"/>
  <c r="U43" i="18"/>
  <c r="F13" i="18"/>
  <c r="O16" i="18"/>
  <c r="G19" i="18"/>
  <c r="G18" i="18" s="1"/>
  <c r="O8" i="18"/>
  <c r="O22" i="18"/>
  <c r="O10" i="18"/>
  <c r="G25" i="18"/>
  <c r="G24" i="18" s="1"/>
  <c r="G13" i="18"/>
  <c r="G12" i="18" s="1"/>
  <c r="N31" i="18"/>
  <c r="N30" i="18" s="1"/>
  <c r="M22" i="18"/>
  <c r="I13" i="18"/>
  <c r="M19" i="18"/>
  <c r="M8" i="18"/>
  <c r="M25" i="18"/>
  <c r="I34" i="18"/>
  <c r="O31" i="18"/>
  <c r="H10" i="18"/>
  <c r="H28" i="18" s="1"/>
  <c r="H19" i="18"/>
  <c r="H31" i="18"/>
  <c r="I22" i="18"/>
  <c r="J16" i="18"/>
  <c r="J15" i="18" s="1"/>
  <c r="L10" i="18"/>
  <c r="J25" i="18"/>
  <c r="F14" i="18"/>
  <c r="F26" i="18"/>
  <c r="F23" i="18"/>
  <c r="F11" i="18"/>
  <c r="N23" i="18"/>
  <c r="N14" i="18"/>
  <c r="N11" i="18"/>
  <c r="N26" i="18"/>
  <c r="E55" i="18"/>
  <c r="K26" i="18"/>
  <c r="K23" i="18"/>
  <c r="D67" i="18"/>
  <c r="F20" i="18"/>
  <c r="R45" i="18"/>
  <c r="Z12" i="18"/>
  <c r="F17" i="18"/>
  <c r="Q18" i="18"/>
  <c r="F22" i="18"/>
  <c r="F10" i="18"/>
  <c r="F28" i="18" s="1"/>
  <c r="N10" i="18"/>
  <c r="N22" i="18"/>
  <c r="J8" i="18"/>
  <c r="L19" i="18"/>
  <c r="I25" i="18"/>
  <c r="F19" i="18"/>
  <c r="F16" i="18"/>
  <c r="C67" i="18"/>
  <c r="I19" i="18"/>
  <c r="P43" i="18"/>
  <c r="L34" i="18"/>
  <c r="S43" i="18"/>
  <c r="L16" i="18"/>
  <c r="L25" i="18"/>
  <c r="L13" i="18"/>
  <c r="J19" i="18"/>
  <c r="J10" i="18"/>
  <c r="J22" i="18"/>
  <c r="J21" i="18" s="1"/>
  <c r="J34" i="18"/>
  <c r="J31" i="18"/>
  <c r="H34" i="18"/>
  <c r="O43" i="18"/>
  <c r="H25" i="18"/>
  <c r="H16" i="18"/>
  <c r="H13" i="18"/>
  <c r="J13" i="18"/>
  <c r="J12" i="18" s="1"/>
  <c r="F31" i="18"/>
  <c r="I10" i="18"/>
  <c r="I28" i="18" s="1"/>
  <c r="F34" i="18"/>
  <c r="F33" i="18" s="1"/>
  <c r="F8" i="18"/>
  <c r="F25" i="18"/>
  <c r="X28" i="18"/>
  <c r="P34" i="18"/>
  <c r="P31" i="18"/>
  <c r="P19" i="18"/>
  <c r="P18" i="18" s="1"/>
  <c r="P22" i="18"/>
  <c r="P10" i="18"/>
  <c r="P28" i="18" s="1"/>
  <c r="P16" i="18"/>
  <c r="P8" i="18"/>
  <c r="P13" i="18"/>
  <c r="W43" i="18"/>
  <c r="P25" i="18"/>
  <c r="D6" i="18"/>
  <c r="H23" i="18"/>
  <c r="H21" i="18" s="1"/>
  <c r="H11" i="18"/>
  <c r="H26" i="18"/>
  <c r="H14" i="18"/>
  <c r="H35" i="18"/>
  <c r="H32" i="18"/>
  <c r="D32" i="18" s="1"/>
  <c r="H20" i="18"/>
  <c r="H17" i="18"/>
  <c r="O44" i="18"/>
  <c r="H8" i="18"/>
  <c r="AD27" i="18"/>
  <c r="AD37" i="18"/>
  <c r="AD36" i="18" s="1"/>
  <c r="T23" i="18"/>
  <c r="T21" i="18" s="1"/>
  <c r="T11" i="18"/>
  <c r="T9" i="18" s="1"/>
  <c r="T26" i="18"/>
  <c r="T24" i="18" s="1"/>
  <c r="T14" i="18"/>
  <c r="T12" i="18" s="1"/>
  <c r="AA44" i="18"/>
  <c r="AA45" i="18" s="1"/>
  <c r="T8" i="18"/>
  <c r="T35" i="18"/>
  <c r="T33" i="18" s="1"/>
  <c r="T32" i="18"/>
  <c r="T30" i="18" s="1"/>
  <c r="T20" i="18"/>
  <c r="T18" i="18" s="1"/>
  <c r="T17" i="18"/>
  <c r="T15" i="18" s="1"/>
  <c r="W9" i="18"/>
  <c r="W28" i="18"/>
  <c r="W37" i="18" s="1"/>
  <c r="S22" i="18"/>
  <c r="S21" i="18" s="1"/>
  <c r="S10" i="18"/>
  <c r="S9" i="18" s="1"/>
  <c r="S25" i="18"/>
  <c r="S13" i="18"/>
  <c r="S12" i="18" s="1"/>
  <c r="S34" i="18"/>
  <c r="S33" i="18" s="1"/>
  <c r="S19" i="18"/>
  <c r="Z43" i="18"/>
  <c r="Z45" i="18" s="1"/>
  <c r="S31" i="18"/>
  <c r="S30" i="18" s="1"/>
  <c r="S8" i="18"/>
  <c r="S16" i="18"/>
  <c r="Y35" i="18"/>
  <c r="Y33" i="18" s="1"/>
  <c r="Y20" i="18"/>
  <c r="Y18" i="18" s="1"/>
  <c r="Y23" i="18"/>
  <c r="Y21" i="18" s="1"/>
  <c r="Y11" i="18"/>
  <c r="Y9" i="18" s="1"/>
  <c r="Y26" i="18"/>
  <c r="Y24" i="18" s="1"/>
  <c r="Y32" i="18"/>
  <c r="Y30" i="18" s="1"/>
  <c r="Y17" i="18"/>
  <c r="Y15" i="18" s="1"/>
  <c r="Y14" i="18"/>
  <c r="Y12" i="18" s="1"/>
  <c r="T44" i="18"/>
  <c r="M35" i="18"/>
  <c r="M20" i="18"/>
  <c r="M23" i="18"/>
  <c r="M11" i="18"/>
  <c r="M32" i="18"/>
  <c r="M17" i="18"/>
  <c r="M14" i="18"/>
  <c r="M26" i="18"/>
  <c r="AD43" i="18"/>
  <c r="D7" i="18"/>
  <c r="X37" i="18"/>
  <c r="AE27" i="18"/>
  <c r="Y37" i="18"/>
  <c r="AB36" i="18"/>
  <c r="Z18" i="18"/>
  <c r="AA36" i="18"/>
  <c r="AG27" i="18"/>
  <c r="E58" i="18"/>
  <c r="AE36" i="18"/>
  <c r="V18" i="18"/>
  <c r="AF37" i="18"/>
  <c r="AF36" i="18" s="1"/>
  <c r="Q9" i="18"/>
  <c r="C62" i="18"/>
  <c r="AI36" i="18"/>
  <c r="T28" i="18"/>
  <c r="AB44" i="18"/>
  <c r="AB45" i="18" s="1"/>
  <c r="U35" i="18"/>
  <c r="U33" i="18" s="1"/>
  <c r="U20" i="18"/>
  <c r="U18" i="18" s="1"/>
  <c r="U23" i="18"/>
  <c r="U21" i="18" s="1"/>
  <c r="U11" i="18"/>
  <c r="U26" i="18"/>
  <c r="U24" i="18" s="1"/>
  <c r="U32" i="18"/>
  <c r="U30" i="18" s="1"/>
  <c r="U17" i="18"/>
  <c r="U15" i="18" s="1"/>
  <c r="U14" i="18"/>
  <c r="U12" i="18" s="1"/>
  <c r="P44" i="18"/>
  <c r="I35" i="18"/>
  <c r="I20" i="18"/>
  <c r="I23" i="18"/>
  <c r="I11" i="18"/>
  <c r="I14" i="18"/>
  <c r="I26" i="18"/>
  <c r="I32" i="18"/>
  <c r="I17" i="18"/>
  <c r="L23" i="18"/>
  <c r="L21" i="18" s="1"/>
  <c r="L11" i="18"/>
  <c r="L29" i="18" s="1"/>
  <c r="L26" i="18"/>
  <c r="L14" i="18"/>
  <c r="S44" i="18"/>
  <c r="L35" i="18"/>
  <c r="L20" i="18"/>
  <c r="L17" i="18"/>
  <c r="L8" i="18"/>
  <c r="L32" i="18"/>
  <c r="L30" i="18" s="1"/>
  <c r="X23" i="18"/>
  <c r="X21" i="18" s="1"/>
  <c r="X11" i="18"/>
  <c r="X26" i="18"/>
  <c r="X24" i="18" s="1"/>
  <c r="X14" i="18"/>
  <c r="X12" i="18" s="1"/>
  <c r="X35" i="18"/>
  <c r="X33" i="18" s="1"/>
  <c r="X32" i="18"/>
  <c r="X30" i="18" s="1"/>
  <c r="X20" i="18"/>
  <c r="X18" i="18" s="1"/>
  <c r="X17" i="18"/>
  <c r="X15" i="18" s="1"/>
  <c r="X8" i="18"/>
  <c r="V12" i="18"/>
  <c r="I8" i="18"/>
  <c r="AH37" i="18"/>
  <c r="AH36" i="18" s="1"/>
  <c r="Z28" i="18"/>
  <c r="U8" i="18"/>
  <c r="AI27" i="18"/>
  <c r="E88" i="8"/>
  <c r="E87" i="8"/>
  <c r="D93" i="8"/>
  <c r="E85" i="8"/>
  <c r="E86" i="8"/>
  <c r="E84" i="8"/>
  <c r="E83" i="8"/>
  <c r="C93" i="8"/>
  <c r="I7" i="8"/>
  <c r="O28" i="18" l="1"/>
  <c r="D31" i="18"/>
  <c r="K29" i="18"/>
  <c r="P29" i="18"/>
  <c r="Q29" i="18"/>
  <c r="Q27" i="18" s="1"/>
  <c r="S29" i="18"/>
  <c r="S27" i="18" s="1"/>
  <c r="I15" i="18"/>
  <c r="W45" i="18"/>
  <c r="N28" i="18"/>
  <c r="R15" i="18"/>
  <c r="E89" i="18"/>
  <c r="R28" i="18"/>
  <c r="R29" i="18"/>
  <c r="V45" i="18"/>
  <c r="L28" i="18"/>
  <c r="Q28" i="18"/>
  <c r="V29" i="18"/>
  <c r="N29" i="18"/>
  <c r="H29" i="18"/>
  <c r="H38" i="18" s="1"/>
  <c r="J9" i="18"/>
  <c r="F29" i="18"/>
  <c r="O29" i="18"/>
  <c r="O38" i="18" s="1"/>
  <c r="I29" i="18"/>
  <c r="I38" i="18" s="1"/>
  <c r="M29" i="18"/>
  <c r="J29" i="18"/>
  <c r="N45" i="18"/>
  <c r="S28" i="18"/>
  <c r="G28" i="18"/>
  <c r="C75" i="18" s="1"/>
  <c r="K12" i="18"/>
  <c r="J28" i="18"/>
  <c r="E92" i="18"/>
  <c r="O24" i="18"/>
  <c r="O21" i="18"/>
  <c r="D91" i="18"/>
  <c r="S24" i="18"/>
  <c r="J33" i="18"/>
  <c r="I37" i="18"/>
  <c r="K21" i="18"/>
  <c r="O12" i="18"/>
  <c r="X45" i="18"/>
  <c r="K18" i="18"/>
  <c r="O33" i="18"/>
  <c r="O18" i="18"/>
  <c r="Q21" i="18"/>
  <c r="I33" i="18"/>
  <c r="AC45" i="18"/>
  <c r="P21" i="18"/>
  <c r="K30" i="18"/>
  <c r="Q33" i="18"/>
  <c r="D8" i="18"/>
  <c r="Q15" i="18"/>
  <c r="O30" i="18"/>
  <c r="V27" i="18"/>
  <c r="V38" i="18"/>
  <c r="V36" i="18" s="1"/>
  <c r="V9" i="18"/>
  <c r="S15" i="18"/>
  <c r="S18" i="18"/>
  <c r="P24" i="18"/>
  <c r="U45" i="18"/>
  <c r="J38" i="18"/>
  <c r="J30" i="18"/>
  <c r="J18" i="18"/>
  <c r="J24" i="18"/>
  <c r="K24" i="18"/>
  <c r="K9" i="18"/>
  <c r="F9" i="18"/>
  <c r="Y45" i="18"/>
  <c r="R37" i="18"/>
  <c r="I17" i="8"/>
  <c r="I35" i="8"/>
  <c r="I32" i="8"/>
  <c r="I26" i="8"/>
  <c r="I23" i="8"/>
  <c r="I20" i="8"/>
  <c r="I14" i="8"/>
  <c r="I11" i="8"/>
  <c r="F24" i="18"/>
  <c r="R18" i="18"/>
  <c r="E62" i="18"/>
  <c r="W29" i="18"/>
  <c r="W38" i="18" s="1"/>
  <c r="W36" i="18" s="1"/>
  <c r="K27" i="18"/>
  <c r="M24" i="18"/>
  <c r="O37" i="18"/>
  <c r="O15" i="18"/>
  <c r="O9" i="18"/>
  <c r="X29" i="18"/>
  <c r="X27" i="18" s="1"/>
  <c r="L15" i="18"/>
  <c r="P15" i="18"/>
  <c r="P30" i="18"/>
  <c r="Q12" i="18"/>
  <c r="Z29" i="18"/>
  <c r="Z38" i="18" s="1"/>
  <c r="R38" i="18"/>
  <c r="P38" i="18"/>
  <c r="H30" i="18"/>
  <c r="I18" i="18"/>
  <c r="P12" i="18"/>
  <c r="R12" i="18"/>
  <c r="R9" i="18"/>
  <c r="N9" i="18"/>
  <c r="N24" i="18"/>
  <c r="I12" i="18"/>
  <c r="R21" i="18"/>
  <c r="L9" i="18"/>
  <c r="H33" i="18"/>
  <c r="P9" i="18"/>
  <c r="P33" i="18"/>
  <c r="F15" i="18"/>
  <c r="N12" i="18"/>
  <c r="G27" i="18"/>
  <c r="R30" i="18"/>
  <c r="D20" i="18"/>
  <c r="U29" i="18"/>
  <c r="U27" i="18" s="1"/>
  <c r="Q38" i="18"/>
  <c r="T45" i="18"/>
  <c r="C73" i="18"/>
  <c r="M37" i="18"/>
  <c r="N18" i="18"/>
  <c r="E88" i="18"/>
  <c r="E87" i="18"/>
  <c r="F18" i="18"/>
  <c r="F21" i="18"/>
  <c r="F38" i="18"/>
  <c r="H9" i="18"/>
  <c r="M15" i="18"/>
  <c r="E86" i="18"/>
  <c r="M9" i="18"/>
  <c r="F30" i="18"/>
  <c r="N37" i="18"/>
  <c r="I9" i="18"/>
  <c r="H15" i="18"/>
  <c r="J27" i="18"/>
  <c r="L33" i="18"/>
  <c r="I21" i="18"/>
  <c r="C76" i="18"/>
  <c r="F37" i="18"/>
  <c r="L24" i="18"/>
  <c r="P45" i="18"/>
  <c r="H37" i="18"/>
  <c r="L37" i="18"/>
  <c r="C72" i="18"/>
  <c r="C69" i="18"/>
  <c r="L12" i="18"/>
  <c r="O45" i="18"/>
  <c r="C70" i="18"/>
  <c r="D76" i="18"/>
  <c r="U9" i="18"/>
  <c r="E84" i="18"/>
  <c r="D71" i="18"/>
  <c r="F12" i="18"/>
  <c r="E67" i="18"/>
  <c r="N21" i="18"/>
  <c r="N38" i="18"/>
  <c r="M38" i="18"/>
  <c r="M18" i="18"/>
  <c r="D34" i="18"/>
  <c r="C74" i="18"/>
  <c r="E90" i="18"/>
  <c r="C71" i="18"/>
  <c r="S45" i="18"/>
  <c r="L18" i="18"/>
  <c r="D22" i="18"/>
  <c r="C68" i="18"/>
  <c r="AD45" i="18"/>
  <c r="AE43" i="18"/>
  <c r="H12" i="18"/>
  <c r="D14" i="18"/>
  <c r="D23" i="18"/>
  <c r="D74" i="18"/>
  <c r="E85" i="18"/>
  <c r="M12" i="18"/>
  <c r="D11" i="18"/>
  <c r="D68" i="18"/>
  <c r="M21" i="18"/>
  <c r="M30" i="18"/>
  <c r="H18" i="18"/>
  <c r="D73" i="18"/>
  <c r="K37" i="18"/>
  <c r="D44" i="18"/>
  <c r="D16" i="18"/>
  <c r="X9" i="18"/>
  <c r="D13" i="18"/>
  <c r="I30" i="18"/>
  <c r="D35" i="18"/>
  <c r="D19" i="18"/>
  <c r="M33" i="18"/>
  <c r="D69" i="18"/>
  <c r="I24" i="18"/>
  <c r="D25" i="18"/>
  <c r="D70" i="18"/>
  <c r="T37" i="18"/>
  <c r="D72" i="18"/>
  <c r="D26" i="18"/>
  <c r="H24" i="18"/>
  <c r="Z37" i="18"/>
  <c r="D10" i="18"/>
  <c r="D17" i="18"/>
  <c r="Y29" i="18"/>
  <c r="Y27" i="18" s="1"/>
  <c r="T29" i="18"/>
  <c r="T27" i="18" s="1"/>
  <c r="E93" i="8"/>
  <c r="H6" i="8"/>
  <c r="C55" i="8"/>
  <c r="J6" i="8"/>
  <c r="E54" i="8"/>
  <c r="L7" i="8"/>
  <c r="H7" i="8"/>
  <c r="F7" i="8"/>
  <c r="K6" i="8"/>
  <c r="G6" i="8"/>
  <c r="X7" i="8"/>
  <c r="W7" i="8"/>
  <c r="T7" i="8"/>
  <c r="Y7" i="8"/>
  <c r="V7" i="8"/>
  <c r="Z7" i="8"/>
  <c r="U7" i="8"/>
  <c r="M7" i="8"/>
  <c r="O7" i="8"/>
  <c r="N7" i="8"/>
  <c r="S6" i="8"/>
  <c r="R6" i="8"/>
  <c r="P6" i="8"/>
  <c r="Q6" i="8"/>
  <c r="F6" i="8"/>
  <c r="J7" i="8"/>
  <c r="L6" i="8"/>
  <c r="O6" i="8"/>
  <c r="N6" i="8"/>
  <c r="S7" i="8"/>
  <c r="Q7" i="8"/>
  <c r="R7" i="8"/>
  <c r="P7" i="8"/>
  <c r="K7" i="8"/>
  <c r="G7" i="8"/>
  <c r="I6" i="8"/>
  <c r="G32" i="7"/>
  <c r="G13" i="7" s="1"/>
  <c r="H32" i="7"/>
  <c r="H13" i="7" s="1"/>
  <c r="I32" i="7"/>
  <c r="I13" i="7" s="1"/>
  <c r="J32" i="7"/>
  <c r="J13" i="7" s="1"/>
  <c r="K32" i="7"/>
  <c r="K13" i="7" s="1"/>
  <c r="L32" i="7"/>
  <c r="L13" i="7" s="1"/>
  <c r="M32" i="7"/>
  <c r="M13" i="7" s="1"/>
  <c r="N32" i="7"/>
  <c r="N13" i="7" s="1"/>
  <c r="O32" i="7"/>
  <c r="O13" i="7" s="1"/>
  <c r="P32" i="7"/>
  <c r="P13" i="7" s="1"/>
  <c r="Q32" i="7"/>
  <c r="Q13" i="7" s="1"/>
  <c r="R32" i="7"/>
  <c r="R13" i="7" s="1"/>
  <c r="S32" i="7"/>
  <c r="S13" i="7" s="1"/>
  <c r="T32" i="7"/>
  <c r="T13" i="7" s="1"/>
  <c r="U32" i="7"/>
  <c r="U13" i="7" s="1"/>
  <c r="V32" i="7"/>
  <c r="V13" i="7" s="1"/>
  <c r="W32" i="7"/>
  <c r="W13" i="7" s="1"/>
  <c r="X32" i="7"/>
  <c r="X13" i="7" s="1"/>
  <c r="Y32" i="7"/>
  <c r="Y13" i="7" s="1"/>
  <c r="Z32" i="7"/>
  <c r="Z13" i="7" s="1"/>
  <c r="AA32" i="7"/>
  <c r="AA13" i="7" s="1"/>
  <c r="AB32" i="7"/>
  <c r="AB13" i="7" s="1"/>
  <c r="AC32" i="7"/>
  <c r="AC13" i="7" s="1"/>
  <c r="AD32" i="7"/>
  <c r="AD13" i="7" s="1"/>
  <c r="AE32" i="7"/>
  <c r="AE13" i="7" s="1"/>
  <c r="AF32" i="7"/>
  <c r="AF13" i="7" s="1"/>
  <c r="AG32" i="7"/>
  <c r="AG13" i="7" s="1"/>
  <c r="AH32" i="7"/>
  <c r="AH13" i="7" s="1"/>
  <c r="AI32" i="7"/>
  <c r="AI13" i="7" s="1"/>
  <c r="AJ32" i="7"/>
  <c r="AJ13" i="7" s="1"/>
  <c r="AK32" i="7"/>
  <c r="AK13" i="7" s="1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G34" i="7"/>
  <c r="G35" i="7" s="1"/>
  <c r="H34" i="7"/>
  <c r="H35" i="7" s="1"/>
  <c r="I34" i="7"/>
  <c r="J34" i="7"/>
  <c r="K34" i="7"/>
  <c r="L34" i="7"/>
  <c r="M34" i="7"/>
  <c r="N34" i="7"/>
  <c r="O34" i="7"/>
  <c r="O35" i="7" s="1"/>
  <c r="P34" i="7"/>
  <c r="P35" i="7" s="1"/>
  <c r="Q34" i="7"/>
  <c r="R34" i="7"/>
  <c r="S34" i="7"/>
  <c r="T34" i="7"/>
  <c r="U34" i="7"/>
  <c r="V34" i="7"/>
  <c r="W34" i="7"/>
  <c r="W35" i="7" s="1"/>
  <c r="X34" i="7"/>
  <c r="X35" i="7" s="1"/>
  <c r="Y34" i="7"/>
  <c r="Z34" i="7"/>
  <c r="AA34" i="7"/>
  <c r="AB34" i="7"/>
  <c r="AC34" i="7"/>
  <c r="AD34" i="7"/>
  <c r="AE34" i="7"/>
  <c r="AE35" i="7" s="1"/>
  <c r="AF34" i="7"/>
  <c r="AF35" i="7" s="1"/>
  <c r="AG34" i="7"/>
  <c r="AH34" i="7"/>
  <c r="AI34" i="7"/>
  <c r="AJ34" i="7"/>
  <c r="AK34" i="7"/>
  <c r="I35" i="7"/>
  <c r="J35" i="7"/>
  <c r="K35" i="7"/>
  <c r="Q35" i="7"/>
  <c r="R35" i="7"/>
  <c r="Y35" i="7"/>
  <c r="Z35" i="7"/>
  <c r="AG35" i="7"/>
  <c r="AH35" i="7"/>
  <c r="G37" i="7"/>
  <c r="H37" i="7"/>
  <c r="H38" i="7" s="1"/>
  <c r="H39" i="7" s="1"/>
  <c r="I37" i="7"/>
  <c r="I38" i="7" s="1"/>
  <c r="I39" i="7" s="1"/>
  <c r="J37" i="7"/>
  <c r="J38" i="7" s="1"/>
  <c r="J39" i="7" s="1"/>
  <c r="K37" i="7"/>
  <c r="L37" i="7"/>
  <c r="M37" i="7"/>
  <c r="N37" i="7"/>
  <c r="O37" i="7"/>
  <c r="P37" i="7"/>
  <c r="P38" i="7" s="1"/>
  <c r="Q37" i="7"/>
  <c r="Q38" i="7" s="1"/>
  <c r="R37" i="7"/>
  <c r="R38" i="7" s="1"/>
  <c r="S37" i="7"/>
  <c r="T37" i="7"/>
  <c r="U37" i="7"/>
  <c r="V37" i="7"/>
  <c r="W37" i="7"/>
  <c r="X37" i="7"/>
  <c r="X38" i="7" s="1"/>
  <c r="Y37" i="7"/>
  <c r="Y38" i="7" s="1"/>
  <c r="Z37" i="7"/>
  <c r="Z38" i="7" s="1"/>
  <c r="AA37" i="7"/>
  <c r="AB37" i="7"/>
  <c r="AC37" i="7"/>
  <c r="AD37" i="7"/>
  <c r="AE37" i="7"/>
  <c r="AF37" i="7"/>
  <c r="AF38" i="7" s="1"/>
  <c r="AG37" i="7"/>
  <c r="AG38" i="7" s="1"/>
  <c r="AH37" i="7"/>
  <c r="AH38" i="7" s="1"/>
  <c r="AI37" i="7"/>
  <c r="AJ37" i="7"/>
  <c r="AK37" i="7"/>
  <c r="G38" i="7"/>
  <c r="K38" i="7"/>
  <c r="K39" i="7" s="1"/>
  <c r="O38" i="7"/>
  <c r="S38" i="7"/>
  <c r="W38" i="7"/>
  <c r="AA38" i="7"/>
  <c r="AE38" i="7"/>
  <c r="AI38" i="7"/>
  <c r="G57" i="7"/>
  <c r="G42" i="7" s="1"/>
  <c r="H57" i="7"/>
  <c r="H42" i="7" s="1"/>
  <c r="I57" i="7"/>
  <c r="I42" i="7" s="1"/>
  <c r="J57" i="7"/>
  <c r="J42" i="7" s="1"/>
  <c r="K57" i="7"/>
  <c r="K42" i="7" s="1"/>
  <c r="L57" i="7"/>
  <c r="L42" i="7" s="1"/>
  <c r="M57" i="7"/>
  <c r="M42" i="7" s="1"/>
  <c r="N57" i="7"/>
  <c r="N42" i="7" s="1"/>
  <c r="O57" i="7"/>
  <c r="O42" i="7" s="1"/>
  <c r="P57" i="7"/>
  <c r="P42" i="7" s="1"/>
  <c r="Q57" i="7"/>
  <c r="Q42" i="7" s="1"/>
  <c r="R57" i="7"/>
  <c r="R42" i="7" s="1"/>
  <c r="S57" i="7"/>
  <c r="S42" i="7" s="1"/>
  <c r="T57" i="7"/>
  <c r="T42" i="7" s="1"/>
  <c r="U57" i="7"/>
  <c r="U42" i="7" s="1"/>
  <c r="V57" i="7"/>
  <c r="V42" i="7" s="1"/>
  <c r="W57" i="7"/>
  <c r="W42" i="7" s="1"/>
  <c r="X57" i="7"/>
  <c r="X42" i="7" s="1"/>
  <c r="Y57" i="7"/>
  <c r="Y42" i="7" s="1"/>
  <c r="Z57" i="7"/>
  <c r="Z42" i="7" s="1"/>
  <c r="AA57" i="7"/>
  <c r="AA42" i="7" s="1"/>
  <c r="AB57" i="7"/>
  <c r="AB42" i="7" s="1"/>
  <c r="AC57" i="7"/>
  <c r="AC42" i="7" s="1"/>
  <c r="AD57" i="7"/>
  <c r="AD42" i="7" s="1"/>
  <c r="AE57" i="7"/>
  <c r="AE42" i="7" s="1"/>
  <c r="AF57" i="7"/>
  <c r="AF42" i="7" s="1"/>
  <c r="AG57" i="7"/>
  <c r="AG42" i="7" s="1"/>
  <c r="AH57" i="7"/>
  <c r="AH42" i="7" s="1"/>
  <c r="AI57" i="7"/>
  <c r="AI42" i="7" s="1"/>
  <c r="AJ57" i="7"/>
  <c r="AJ42" i="7" s="1"/>
  <c r="AK57" i="7"/>
  <c r="AK42" i="7" s="1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G59" i="7"/>
  <c r="G60" i="7" s="1"/>
  <c r="H59" i="7"/>
  <c r="I59" i="7"/>
  <c r="J59" i="7"/>
  <c r="K59" i="7"/>
  <c r="L59" i="7"/>
  <c r="M59" i="7"/>
  <c r="N59" i="7"/>
  <c r="N60" i="7" s="1"/>
  <c r="O59" i="7"/>
  <c r="O60" i="7" s="1"/>
  <c r="P59" i="7"/>
  <c r="Q59" i="7"/>
  <c r="R59" i="7"/>
  <c r="S59" i="7"/>
  <c r="T59" i="7"/>
  <c r="U59" i="7"/>
  <c r="V59" i="7"/>
  <c r="V60" i="7" s="1"/>
  <c r="W59" i="7"/>
  <c r="W60" i="7" s="1"/>
  <c r="X59" i="7"/>
  <c r="Y59" i="7"/>
  <c r="Z59" i="7"/>
  <c r="AA59" i="7"/>
  <c r="AB59" i="7"/>
  <c r="AC59" i="7"/>
  <c r="AD59" i="7"/>
  <c r="AD60" i="7" s="1"/>
  <c r="AE59" i="7"/>
  <c r="AE60" i="7" s="1"/>
  <c r="AF59" i="7"/>
  <c r="AG59" i="7"/>
  <c r="AH59" i="7"/>
  <c r="AI59" i="7"/>
  <c r="AJ59" i="7"/>
  <c r="AK59" i="7"/>
  <c r="H60" i="7"/>
  <c r="I60" i="7"/>
  <c r="P60" i="7"/>
  <c r="Q60" i="7"/>
  <c r="X60" i="7"/>
  <c r="Y60" i="7"/>
  <c r="AF60" i="7"/>
  <c r="AG60" i="7"/>
  <c r="J157" i="16"/>
  <c r="AC60" i="7" l="1"/>
  <c r="AD35" i="7"/>
  <c r="V35" i="7"/>
  <c r="N35" i="7"/>
  <c r="F34" i="8"/>
  <c r="AJ60" i="7"/>
  <c r="L60" i="7"/>
  <c r="AK35" i="7"/>
  <c r="AC35" i="7"/>
  <c r="U35" i="7"/>
  <c r="M35" i="7"/>
  <c r="I27" i="18"/>
  <c r="S38" i="18"/>
  <c r="M60" i="7"/>
  <c r="T60" i="7"/>
  <c r="AI60" i="7"/>
  <c r="AA60" i="7"/>
  <c r="S60" i="7"/>
  <c r="K60" i="7"/>
  <c r="AD38" i="7"/>
  <c r="V38" i="7"/>
  <c r="N38" i="7"/>
  <c r="AJ35" i="7"/>
  <c r="AB35" i="7"/>
  <c r="T35" i="7"/>
  <c r="L35" i="7"/>
  <c r="D30" i="18"/>
  <c r="U60" i="7"/>
  <c r="AB60" i="7"/>
  <c r="AH60" i="7"/>
  <c r="Z60" i="7"/>
  <c r="R60" i="7"/>
  <c r="J60" i="7"/>
  <c r="AK38" i="7"/>
  <c r="AC38" i="7"/>
  <c r="U38" i="7"/>
  <c r="M38" i="7"/>
  <c r="AI35" i="7"/>
  <c r="AA35" i="7"/>
  <c r="S35" i="7"/>
  <c r="AK60" i="7"/>
  <c r="AJ38" i="7"/>
  <c r="AB38" i="7"/>
  <c r="T38" i="7"/>
  <c r="L38" i="7"/>
  <c r="Z27" i="18"/>
  <c r="Q37" i="18"/>
  <c r="Q36" i="18" s="1"/>
  <c r="X38" i="18"/>
  <c r="X36" i="18" s="1"/>
  <c r="E70" i="18"/>
  <c r="L27" i="18"/>
  <c r="G37" i="18"/>
  <c r="G36" i="18" s="1"/>
  <c r="M36" i="18"/>
  <c r="O36" i="18"/>
  <c r="Z36" i="18"/>
  <c r="I29" i="8"/>
  <c r="E73" i="18"/>
  <c r="O27" i="18"/>
  <c r="J37" i="18"/>
  <c r="J36" i="18" s="1"/>
  <c r="K38" i="18"/>
  <c r="K36" i="18" s="1"/>
  <c r="U35" i="8"/>
  <c r="U26" i="8"/>
  <c r="U20" i="8"/>
  <c r="U14" i="8"/>
  <c r="U32" i="8"/>
  <c r="U23" i="8"/>
  <c r="U17" i="8"/>
  <c r="U11" i="8"/>
  <c r="V32" i="8"/>
  <c r="V23" i="8"/>
  <c r="V17" i="8"/>
  <c r="V11" i="8"/>
  <c r="V35" i="8"/>
  <c r="V26" i="8"/>
  <c r="V20" i="8"/>
  <c r="V14" i="8"/>
  <c r="T32" i="8"/>
  <c r="T23" i="8"/>
  <c r="T17" i="8"/>
  <c r="T11" i="8"/>
  <c r="T35" i="8"/>
  <c r="T26" i="8"/>
  <c r="T20" i="8"/>
  <c r="T14" i="8"/>
  <c r="X32" i="8"/>
  <c r="X23" i="8"/>
  <c r="X17" i="8"/>
  <c r="X11" i="8"/>
  <c r="X35" i="8"/>
  <c r="X26" i="8"/>
  <c r="X20" i="8"/>
  <c r="X14" i="8"/>
  <c r="W27" i="18"/>
  <c r="Z32" i="8"/>
  <c r="Z23" i="8"/>
  <c r="Z17" i="8"/>
  <c r="Z29" i="8" s="1"/>
  <c r="Z11" i="8"/>
  <c r="Z35" i="8"/>
  <c r="Z26" i="8"/>
  <c r="Z20" i="8"/>
  <c r="Z14" i="8"/>
  <c r="Y35" i="8"/>
  <c r="Y26" i="8"/>
  <c r="Y20" i="8"/>
  <c r="Y14" i="8"/>
  <c r="Y32" i="8"/>
  <c r="Y23" i="8"/>
  <c r="Y17" i="8"/>
  <c r="Y11" i="8"/>
  <c r="W35" i="8"/>
  <c r="W26" i="8"/>
  <c r="W20" i="8"/>
  <c r="W14" i="8"/>
  <c r="W32" i="8"/>
  <c r="W23" i="8"/>
  <c r="W17" i="8"/>
  <c r="W11" i="8"/>
  <c r="P32" i="8"/>
  <c r="P23" i="8"/>
  <c r="P17" i="8"/>
  <c r="P11" i="8"/>
  <c r="P35" i="8"/>
  <c r="P26" i="8"/>
  <c r="P20" i="8"/>
  <c r="P14" i="8"/>
  <c r="Q35" i="8"/>
  <c r="Q26" i="8"/>
  <c r="Q20" i="8"/>
  <c r="Q14" i="8"/>
  <c r="Q32" i="8"/>
  <c r="Q23" i="8"/>
  <c r="Q17" i="8"/>
  <c r="Q11" i="8"/>
  <c r="R32" i="8"/>
  <c r="R23" i="8"/>
  <c r="R17" i="8"/>
  <c r="R11" i="8"/>
  <c r="R35" i="8"/>
  <c r="R26" i="8"/>
  <c r="R20" i="8"/>
  <c r="R14" i="8"/>
  <c r="S35" i="8"/>
  <c r="S26" i="8"/>
  <c r="S20" i="8"/>
  <c r="S14" i="8"/>
  <c r="S32" i="8"/>
  <c r="S23" i="8"/>
  <c r="S17" i="8"/>
  <c r="S11" i="8"/>
  <c r="Q34" i="8"/>
  <c r="Q25" i="8"/>
  <c r="Q19" i="8"/>
  <c r="Q13" i="8"/>
  <c r="Q31" i="8"/>
  <c r="Q22" i="8"/>
  <c r="Q16" i="8"/>
  <c r="Q10" i="8"/>
  <c r="R31" i="8"/>
  <c r="R22" i="8"/>
  <c r="R16" i="8"/>
  <c r="R28" i="8" s="1"/>
  <c r="R10" i="8"/>
  <c r="R34" i="8"/>
  <c r="R25" i="8"/>
  <c r="R19" i="8"/>
  <c r="R13" i="8"/>
  <c r="P31" i="8"/>
  <c r="P22" i="8"/>
  <c r="P16" i="8"/>
  <c r="P10" i="8"/>
  <c r="P34" i="8"/>
  <c r="P25" i="8"/>
  <c r="P19" i="8"/>
  <c r="P13" i="8"/>
  <c r="S34" i="8"/>
  <c r="S25" i="8"/>
  <c r="S19" i="8"/>
  <c r="S13" i="8"/>
  <c r="S31" i="8"/>
  <c r="S22" i="8"/>
  <c r="S21" i="8" s="1"/>
  <c r="S16" i="8"/>
  <c r="S10" i="8"/>
  <c r="S9" i="8" s="1"/>
  <c r="G17" i="8"/>
  <c r="G35" i="8"/>
  <c r="G32" i="8"/>
  <c r="G26" i="8"/>
  <c r="G23" i="8"/>
  <c r="G20" i="8"/>
  <c r="G14" i="8"/>
  <c r="G11" i="8"/>
  <c r="O26" i="8"/>
  <c r="O23" i="8"/>
  <c r="O35" i="8"/>
  <c r="O32" i="8"/>
  <c r="O20" i="8"/>
  <c r="O17" i="8"/>
  <c r="O14" i="8"/>
  <c r="O11" i="8"/>
  <c r="H35" i="8"/>
  <c r="H32" i="8"/>
  <c r="H26" i="8"/>
  <c r="H23" i="8"/>
  <c r="H20" i="8"/>
  <c r="H14" i="8"/>
  <c r="H11" i="8"/>
  <c r="H17" i="8"/>
  <c r="K35" i="8"/>
  <c r="K32" i="8"/>
  <c r="K26" i="8"/>
  <c r="K23" i="8"/>
  <c r="K20" i="8"/>
  <c r="K17" i="8"/>
  <c r="K14" i="8"/>
  <c r="K11" i="8"/>
  <c r="J35" i="8"/>
  <c r="J32" i="8"/>
  <c r="J26" i="8"/>
  <c r="J23" i="8"/>
  <c r="J20" i="8"/>
  <c r="J14" i="8"/>
  <c r="J11" i="8"/>
  <c r="J17" i="8"/>
  <c r="N35" i="8"/>
  <c r="N32" i="8"/>
  <c r="N20" i="8"/>
  <c r="N17" i="8"/>
  <c r="N14" i="8"/>
  <c r="N11" i="8"/>
  <c r="N26" i="8"/>
  <c r="N23" i="8"/>
  <c r="M26" i="8"/>
  <c r="M23" i="8"/>
  <c r="M35" i="8"/>
  <c r="M32" i="8"/>
  <c r="M20" i="8"/>
  <c r="M17" i="8"/>
  <c r="M14" i="8"/>
  <c r="M11" i="8"/>
  <c r="F35" i="8"/>
  <c r="L35" i="8"/>
  <c r="L32" i="8"/>
  <c r="L20" i="8"/>
  <c r="L17" i="8"/>
  <c r="L14" i="8"/>
  <c r="L11" i="8"/>
  <c r="L26" i="8"/>
  <c r="L23" i="8"/>
  <c r="I34" i="8"/>
  <c r="I33" i="8" s="1"/>
  <c r="I31" i="8"/>
  <c r="I19" i="8"/>
  <c r="I13" i="8"/>
  <c r="I25" i="8"/>
  <c r="I22" i="8"/>
  <c r="I21" i="8" s="1"/>
  <c r="I16" i="8"/>
  <c r="I10" i="8"/>
  <c r="I9" i="8" s="1"/>
  <c r="O34" i="8"/>
  <c r="O31" i="8"/>
  <c r="O25" i="8"/>
  <c r="O22" i="8"/>
  <c r="O19" i="8"/>
  <c r="O13" i="8"/>
  <c r="O16" i="8"/>
  <c r="O10" i="8"/>
  <c r="G34" i="8"/>
  <c r="G31" i="8"/>
  <c r="G19" i="8"/>
  <c r="G13" i="8"/>
  <c r="G25" i="8"/>
  <c r="G22" i="8"/>
  <c r="G16" i="8"/>
  <c r="G10" i="8"/>
  <c r="J25" i="8"/>
  <c r="J22" i="8"/>
  <c r="J16" i="8"/>
  <c r="J10" i="8"/>
  <c r="J34" i="8"/>
  <c r="J31" i="8"/>
  <c r="J19" i="8"/>
  <c r="J13" i="8"/>
  <c r="H25" i="8"/>
  <c r="H22" i="8"/>
  <c r="H16" i="8"/>
  <c r="H10" i="8"/>
  <c r="H34" i="8"/>
  <c r="H31" i="8"/>
  <c r="H19" i="8"/>
  <c r="H13" i="8"/>
  <c r="U43" i="8"/>
  <c r="N16" i="8"/>
  <c r="N10" i="8"/>
  <c r="N34" i="8"/>
  <c r="N31" i="8"/>
  <c r="N25" i="8"/>
  <c r="N22" i="8"/>
  <c r="N19" i="8"/>
  <c r="N13" i="8"/>
  <c r="L16" i="8"/>
  <c r="L10" i="8"/>
  <c r="L34" i="8"/>
  <c r="L31" i="8"/>
  <c r="L25" i="8"/>
  <c r="L22" i="8"/>
  <c r="L19" i="8"/>
  <c r="L13" i="8"/>
  <c r="M43" i="8"/>
  <c r="C67" i="8"/>
  <c r="F19" i="8"/>
  <c r="F13" i="8"/>
  <c r="F22" i="8"/>
  <c r="F16" i="8"/>
  <c r="F10" i="8"/>
  <c r="F28" i="8" s="1"/>
  <c r="K34" i="8"/>
  <c r="K31" i="8"/>
  <c r="K19" i="8"/>
  <c r="K13" i="8"/>
  <c r="K25" i="8"/>
  <c r="K22" i="8"/>
  <c r="K16" i="8"/>
  <c r="K10" i="8"/>
  <c r="R27" i="18"/>
  <c r="R36" i="18"/>
  <c r="I36" i="18"/>
  <c r="T38" i="18"/>
  <c r="T36" i="18" s="1"/>
  <c r="P27" i="18"/>
  <c r="U38" i="18"/>
  <c r="U36" i="18" s="1"/>
  <c r="E74" i="18"/>
  <c r="E68" i="18"/>
  <c r="F27" i="18"/>
  <c r="D33" i="18"/>
  <c r="D15" i="18"/>
  <c r="H27" i="18"/>
  <c r="E76" i="18"/>
  <c r="E69" i="18"/>
  <c r="D12" i="18"/>
  <c r="E72" i="18"/>
  <c r="H36" i="18"/>
  <c r="C77" i="18"/>
  <c r="E91" i="18"/>
  <c r="E93" i="18" s="1"/>
  <c r="M27" i="18"/>
  <c r="N27" i="18"/>
  <c r="N36" i="18"/>
  <c r="D18" i="18"/>
  <c r="Y38" i="18"/>
  <c r="Y36" i="18" s="1"/>
  <c r="E71" i="18"/>
  <c r="D93" i="18"/>
  <c r="L38" i="18"/>
  <c r="C93" i="18"/>
  <c r="D24" i="18"/>
  <c r="D21" i="18"/>
  <c r="F36" i="18"/>
  <c r="AF43" i="18"/>
  <c r="AE45" i="18"/>
  <c r="D75" i="18"/>
  <c r="D77" i="18" s="1"/>
  <c r="D29" i="18"/>
  <c r="D9" i="18"/>
  <c r="P37" i="18"/>
  <c r="P36" i="18" s="1"/>
  <c r="S37" i="18"/>
  <c r="D28" i="18"/>
  <c r="D67" i="8"/>
  <c r="O9" i="8"/>
  <c r="H9" i="8"/>
  <c r="F11" i="8"/>
  <c r="F23" i="8"/>
  <c r="J9" i="8"/>
  <c r="AJ43" i="7"/>
  <c r="AJ45" i="7"/>
  <c r="AJ44" i="7"/>
  <c r="AH43" i="7"/>
  <c r="AH45" i="7"/>
  <c r="AH44" i="7"/>
  <c r="AF43" i="7"/>
  <c r="AF45" i="7"/>
  <c r="AF44" i="7"/>
  <c r="AD43" i="7"/>
  <c r="AD45" i="7"/>
  <c r="AD44" i="7"/>
  <c r="AB43" i="7"/>
  <c r="AB45" i="7"/>
  <c r="AB44" i="7"/>
  <c r="Z43" i="7"/>
  <c r="Z45" i="7"/>
  <c r="Z44" i="7"/>
  <c r="X43" i="7"/>
  <c r="X45" i="7"/>
  <c r="X44" i="7"/>
  <c r="V43" i="7"/>
  <c r="V45" i="7"/>
  <c r="V44" i="7"/>
  <c r="T43" i="7"/>
  <c r="T45" i="7"/>
  <c r="T44" i="7"/>
  <c r="N43" i="7"/>
  <c r="P43" i="7"/>
  <c r="R43" i="7"/>
  <c r="O44" i="7"/>
  <c r="Q44" i="7"/>
  <c r="N45" i="7"/>
  <c r="P45" i="7"/>
  <c r="R45" i="7"/>
  <c r="O43" i="7"/>
  <c r="Q43" i="7"/>
  <c r="N44" i="7"/>
  <c r="P44" i="7"/>
  <c r="R44" i="7"/>
  <c r="O45" i="7"/>
  <c r="Q45" i="7"/>
  <c r="L43" i="7"/>
  <c r="L45" i="7"/>
  <c r="L44" i="7"/>
  <c r="J43" i="7"/>
  <c r="J45" i="7"/>
  <c r="J44" i="7"/>
  <c r="H43" i="7"/>
  <c r="H45" i="7"/>
  <c r="H44" i="7"/>
  <c r="AK14" i="7"/>
  <c r="AK16" i="7"/>
  <c r="AK15" i="7"/>
  <c r="AI14" i="7"/>
  <c r="AI16" i="7"/>
  <c r="AI15" i="7"/>
  <c r="AG14" i="7"/>
  <c r="AG16" i="7"/>
  <c r="AG15" i="7"/>
  <c r="AE14" i="7"/>
  <c r="AE16" i="7"/>
  <c r="AE15" i="7"/>
  <c r="AC14" i="7"/>
  <c r="AC16" i="7"/>
  <c r="AC15" i="7"/>
  <c r="AA14" i="7"/>
  <c r="AA16" i="7"/>
  <c r="AA15" i="7"/>
  <c r="Y14" i="7"/>
  <c r="Y16" i="7"/>
  <c r="Y15" i="7"/>
  <c r="W14" i="7"/>
  <c r="W16" i="7"/>
  <c r="W15" i="7"/>
  <c r="U14" i="7"/>
  <c r="U16" i="7"/>
  <c r="U15" i="7"/>
  <c r="S14" i="7"/>
  <c r="S16" i="7"/>
  <c r="S15" i="7"/>
  <c r="Q14" i="7"/>
  <c r="Q16" i="7"/>
  <c r="Q15" i="7"/>
  <c r="O14" i="7"/>
  <c r="O16" i="7"/>
  <c r="O15" i="7"/>
  <c r="M14" i="7"/>
  <c r="M16" i="7"/>
  <c r="M15" i="7"/>
  <c r="K14" i="7"/>
  <c r="K16" i="7"/>
  <c r="K15" i="7"/>
  <c r="I14" i="7"/>
  <c r="I16" i="7"/>
  <c r="I15" i="7"/>
  <c r="G14" i="7"/>
  <c r="G16" i="7"/>
  <c r="G15" i="7"/>
  <c r="AJ51" i="7"/>
  <c r="AH51" i="7"/>
  <c r="AF51" i="7"/>
  <c r="AD51" i="7"/>
  <c r="AB51" i="7"/>
  <c r="Z51" i="7"/>
  <c r="X51" i="7"/>
  <c r="V51" i="7"/>
  <c r="T51" i="7"/>
  <c r="R51" i="7"/>
  <c r="P51" i="7"/>
  <c r="N51" i="7"/>
  <c r="L51" i="7"/>
  <c r="J51" i="7"/>
  <c r="H51" i="7"/>
  <c r="AK44" i="7"/>
  <c r="AK43" i="7"/>
  <c r="AK45" i="7"/>
  <c r="AI44" i="7"/>
  <c r="AI43" i="7"/>
  <c r="AI45" i="7"/>
  <c r="AG44" i="7"/>
  <c r="AG43" i="7"/>
  <c r="AG45" i="7"/>
  <c r="AE44" i="7"/>
  <c r="AE43" i="7"/>
  <c r="AE45" i="7"/>
  <c r="AC44" i="7"/>
  <c r="AC43" i="7"/>
  <c r="AC45" i="7"/>
  <c r="AA44" i="7"/>
  <c r="AA43" i="7"/>
  <c r="AA45" i="7"/>
  <c r="Y44" i="7"/>
  <c r="Y43" i="7"/>
  <c r="Y45" i="7"/>
  <c r="W44" i="7"/>
  <c r="W43" i="7"/>
  <c r="W45" i="7"/>
  <c r="U44" i="7"/>
  <c r="U43" i="7"/>
  <c r="U45" i="7"/>
  <c r="S44" i="7"/>
  <c r="S43" i="7"/>
  <c r="S45" i="7"/>
  <c r="M44" i="7"/>
  <c r="M43" i="7"/>
  <c r="M45" i="7"/>
  <c r="K44" i="7"/>
  <c r="K43" i="7"/>
  <c r="K45" i="7"/>
  <c r="I44" i="7"/>
  <c r="I43" i="7"/>
  <c r="I45" i="7"/>
  <c r="G44" i="7"/>
  <c r="G43" i="7"/>
  <c r="G45" i="7"/>
  <c r="AJ15" i="7"/>
  <c r="AJ14" i="7"/>
  <c r="AJ16" i="7"/>
  <c r="AH15" i="7"/>
  <c r="AH14" i="7"/>
  <c r="AH16" i="7"/>
  <c r="AF15" i="7"/>
  <c r="AF14" i="7"/>
  <c r="AF16" i="7"/>
  <c r="AD15" i="7"/>
  <c r="AD14" i="7"/>
  <c r="AD16" i="7"/>
  <c r="AB15" i="7"/>
  <c r="AB14" i="7"/>
  <c r="AB16" i="7"/>
  <c r="Z15" i="7"/>
  <c r="Z14" i="7"/>
  <c r="Z16" i="7"/>
  <c r="X15" i="7"/>
  <c r="X14" i="7"/>
  <c r="X16" i="7"/>
  <c r="V15" i="7"/>
  <c r="V14" i="7"/>
  <c r="V16" i="7"/>
  <c r="T15" i="7"/>
  <c r="T14" i="7"/>
  <c r="T16" i="7"/>
  <c r="R15" i="7"/>
  <c r="R14" i="7"/>
  <c r="R16" i="7"/>
  <c r="P15" i="7"/>
  <c r="P14" i="7"/>
  <c r="P16" i="7"/>
  <c r="N15" i="7"/>
  <c r="N14" i="7"/>
  <c r="N16" i="7"/>
  <c r="L15" i="7"/>
  <c r="L14" i="7"/>
  <c r="L16" i="7"/>
  <c r="J15" i="7"/>
  <c r="J14" i="7"/>
  <c r="J16" i="7"/>
  <c r="H15" i="7"/>
  <c r="H14" i="7"/>
  <c r="H16" i="7"/>
  <c r="AK51" i="7"/>
  <c r="AI51" i="7"/>
  <c r="AG51" i="7"/>
  <c r="AE51" i="7"/>
  <c r="AC51" i="7"/>
  <c r="AA51" i="7"/>
  <c r="Y51" i="7"/>
  <c r="W51" i="7"/>
  <c r="U51" i="7"/>
  <c r="S51" i="7"/>
  <c r="Q51" i="7"/>
  <c r="O51" i="7"/>
  <c r="M51" i="7"/>
  <c r="K51" i="7"/>
  <c r="I51" i="7"/>
  <c r="G51" i="7"/>
  <c r="AK25" i="7"/>
  <c r="AI25" i="7"/>
  <c r="AG25" i="7"/>
  <c r="AE25" i="7"/>
  <c r="AC25" i="7"/>
  <c r="AA25" i="7"/>
  <c r="Y25" i="7"/>
  <c r="W25" i="7"/>
  <c r="U25" i="7"/>
  <c r="S25" i="7"/>
  <c r="Q25" i="7"/>
  <c r="O25" i="7"/>
  <c r="M25" i="7"/>
  <c r="K25" i="7"/>
  <c r="I25" i="7"/>
  <c r="G25" i="7"/>
  <c r="AJ25" i="7"/>
  <c r="AH25" i="7"/>
  <c r="AF25" i="7"/>
  <c r="AD25" i="7"/>
  <c r="AB25" i="7"/>
  <c r="Z25" i="7"/>
  <c r="X25" i="7"/>
  <c r="V25" i="7"/>
  <c r="T25" i="7"/>
  <c r="R25" i="7"/>
  <c r="P25" i="7"/>
  <c r="N25" i="7"/>
  <c r="L25" i="7"/>
  <c r="J25" i="7"/>
  <c r="H25" i="7"/>
  <c r="E10" i="7"/>
  <c r="G10" i="7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D19" i="5"/>
  <c r="D10" i="5"/>
  <c r="H1" i="7"/>
  <c r="I1" i="7" s="1"/>
  <c r="J1" i="7" s="1"/>
  <c r="K1" i="7" s="1"/>
  <c r="L1" i="7" s="1"/>
  <c r="M1" i="7" s="1"/>
  <c r="N1" i="7" s="1"/>
  <c r="O1" i="7" s="1"/>
  <c r="P1" i="7" s="1"/>
  <c r="Q1" i="7" s="1"/>
  <c r="R1" i="7" s="1"/>
  <c r="S1" i="7" s="1"/>
  <c r="T1" i="7" s="1"/>
  <c r="U1" i="7" s="1"/>
  <c r="V1" i="7" s="1"/>
  <c r="W1" i="7" s="1"/>
  <c r="X1" i="7" s="1"/>
  <c r="Y1" i="7" s="1"/>
  <c r="Z1" i="7" s="1"/>
  <c r="AA1" i="7" s="1"/>
  <c r="AB1" i="7" s="1"/>
  <c r="AC1" i="7" s="1"/>
  <c r="AD1" i="7" s="1"/>
  <c r="AE1" i="7" s="1"/>
  <c r="AF1" i="7" s="1"/>
  <c r="AG1" i="7" s="1"/>
  <c r="AH1" i="7" s="1"/>
  <c r="AI1" i="7" s="1"/>
  <c r="H2" i="7"/>
  <c r="I2" i="7" s="1"/>
  <c r="J2" i="7" s="1"/>
  <c r="K2" i="7" s="1"/>
  <c r="L2" i="7" s="1"/>
  <c r="M2" i="7" s="1"/>
  <c r="N2" i="7" s="1"/>
  <c r="O2" i="7" s="1"/>
  <c r="P2" i="7" s="1"/>
  <c r="Q2" i="7" s="1"/>
  <c r="R2" i="7" s="1"/>
  <c r="S2" i="7" s="1"/>
  <c r="T2" i="7" s="1"/>
  <c r="U2" i="7" s="1"/>
  <c r="V2" i="7" s="1"/>
  <c r="W2" i="7" s="1"/>
  <c r="X2" i="7" s="1"/>
  <c r="Y2" i="7" s="1"/>
  <c r="Z2" i="7" s="1"/>
  <c r="AA2" i="7" s="1"/>
  <c r="AB2" i="7" s="1"/>
  <c r="AC2" i="7" s="1"/>
  <c r="AD2" i="7" s="1"/>
  <c r="AE2" i="7" s="1"/>
  <c r="AF2" i="7" s="1"/>
  <c r="AG2" i="7" s="1"/>
  <c r="AH2" i="7" s="1"/>
  <c r="H7" i="7"/>
  <c r="I7" i="7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H8" i="7"/>
  <c r="I8" i="7" s="1"/>
  <c r="J8" i="7" s="1"/>
  <c r="K8" i="7" s="1"/>
  <c r="L8" i="7" s="1"/>
  <c r="M8" i="7" s="1"/>
  <c r="N8" i="7" s="1"/>
  <c r="O8" i="7" s="1"/>
  <c r="P8" i="7" s="1"/>
  <c r="Q8" i="7" s="1"/>
  <c r="R8" i="7" s="1"/>
  <c r="S8" i="7" s="1"/>
  <c r="T8" i="7" s="1"/>
  <c r="U8" i="7" s="1"/>
  <c r="V8" i="7" s="1"/>
  <c r="W8" i="7" s="1"/>
  <c r="X8" i="7" s="1"/>
  <c r="Y8" i="7" s="1"/>
  <c r="Z8" i="7" s="1"/>
  <c r="AA8" i="7" s="1"/>
  <c r="AB8" i="7" s="1"/>
  <c r="AC8" i="7" s="1"/>
  <c r="AD8" i="7" s="1"/>
  <c r="AE8" i="7" s="1"/>
  <c r="AF8" i="7" s="1"/>
  <c r="AG8" i="7" s="1"/>
  <c r="AH8" i="7" s="1"/>
  <c r="AI8" i="7" s="1"/>
  <c r="H9" i="7"/>
  <c r="I9" i="7"/>
  <c r="J9" i="7" s="1"/>
  <c r="K9" i="7" s="1"/>
  <c r="L9" i="7" s="1"/>
  <c r="M9" i="7" s="1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N42" i="7"/>
  <c r="AL42" i="7"/>
  <c r="G62" i="7"/>
  <c r="G63" i="7" s="1"/>
  <c r="H62" i="7"/>
  <c r="H63" i="7" s="1"/>
  <c r="H64" i="7" s="1"/>
  <c r="I62" i="7"/>
  <c r="I63" i="7" s="1"/>
  <c r="I64" i="7" s="1"/>
  <c r="J62" i="7"/>
  <c r="J63" i="7" s="1"/>
  <c r="J64" i="7" s="1"/>
  <c r="K62" i="7"/>
  <c r="K63" i="7" s="1"/>
  <c r="K64" i="7" s="1"/>
  <c r="L62" i="7"/>
  <c r="L63" i="7" s="1"/>
  <c r="M62" i="7"/>
  <c r="M63" i="7" s="1"/>
  <c r="N62" i="7"/>
  <c r="N63" i="7" s="1"/>
  <c r="O62" i="7"/>
  <c r="O63" i="7" s="1"/>
  <c r="P62" i="7"/>
  <c r="P63" i="7" s="1"/>
  <c r="Q62" i="7"/>
  <c r="Q63" i="7" s="1"/>
  <c r="R62" i="7"/>
  <c r="R63" i="7" s="1"/>
  <c r="S62" i="7"/>
  <c r="S63" i="7" s="1"/>
  <c r="T62" i="7"/>
  <c r="U62" i="7"/>
  <c r="U63" i="7" s="1"/>
  <c r="V62" i="7"/>
  <c r="V63" i="7" s="1"/>
  <c r="W62" i="7"/>
  <c r="W63" i="7" s="1"/>
  <c r="X62" i="7"/>
  <c r="X63" i="7" s="1"/>
  <c r="Y62" i="7"/>
  <c r="Y63" i="7" s="1"/>
  <c r="Z62" i="7"/>
  <c r="Z63" i="7" s="1"/>
  <c r="AA62" i="7"/>
  <c r="AA63" i="7" s="1"/>
  <c r="AB62" i="7"/>
  <c r="AB63" i="7" s="1"/>
  <c r="AC62" i="7"/>
  <c r="AC63" i="7" s="1"/>
  <c r="AD62" i="7"/>
  <c r="AD63" i="7" s="1"/>
  <c r="AE62" i="7"/>
  <c r="AE63" i="7" s="1"/>
  <c r="AF62" i="7"/>
  <c r="AG62" i="7"/>
  <c r="AG63" i="7" s="1"/>
  <c r="AH62" i="7"/>
  <c r="AH63" i="7" s="1"/>
  <c r="AI62" i="7"/>
  <c r="AI63" i="7" s="1"/>
  <c r="AJ62" i="7"/>
  <c r="AJ63" i="7" s="1"/>
  <c r="AK62" i="7"/>
  <c r="AK63" i="7" s="1"/>
  <c r="T63" i="7"/>
  <c r="AF63" i="7"/>
  <c r="G67" i="7"/>
  <c r="G68" i="7"/>
  <c r="G69" i="7" s="1"/>
  <c r="G71" i="7"/>
  <c r="G72" i="7"/>
  <c r="G75" i="7"/>
  <c r="G76" i="7"/>
  <c r="G77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AK80" i="7"/>
  <c r="AB24" i="11"/>
  <c r="AA10" i="11"/>
  <c r="AB10" i="11"/>
  <c r="AC10" i="11"/>
  <c r="AD10" i="11"/>
  <c r="AE10" i="11"/>
  <c r="AF10" i="11"/>
  <c r="AG10" i="11"/>
  <c r="AH10" i="11"/>
  <c r="AI10" i="11"/>
  <c r="AA11" i="11"/>
  <c r="AB11" i="11"/>
  <c r="AC11" i="11"/>
  <c r="AD11" i="11"/>
  <c r="AE11" i="11"/>
  <c r="AF11" i="11"/>
  <c r="AG11" i="11"/>
  <c r="AH11" i="11"/>
  <c r="AI11" i="11"/>
  <c r="W25" i="11"/>
  <c r="X25" i="11"/>
  <c r="Y25" i="11"/>
  <c r="Z25" i="11"/>
  <c r="AA25" i="11"/>
  <c r="AB25" i="11"/>
  <c r="AC25" i="11"/>
  <c r="AC24" i="11" s="1"/>
  <c r="AD25" i="11"/>
  <c r="AD24" i="11" s="1"/>
  <c r="AE25" i="11"/>
  <c r="AF25" i="11"/>
  <c r="AF24" i="11" s="1"/>
  <c r="AG25" i="11"/>
  <c r="AH25" i="11"/>
  <c r="AH24" i="11" s="1"/>
  <c r="AI25" i="11"/>
  <c r="AI24" i="11" s="1"/>
  <c r="AA26" i="11"/>
  <c r="AB26" i="11"/>
  <c r="AC26" i="11"/>
  <c r="AD26" i="11"/>
  <c r="AE26" i="11"/>
  <c r="AE24" i="11" s="1"/>
  <c r="AF26" i="11"/>
  <c r="AG26" i="11"/>
  <c r="AG24" i="11" s="1"/>
  <c r="AH26" i="11"/>
  <c r="AI26" i="11"/>
  <c r="W10" i="11"/>
  <c r="X10" i="11"/>
  <c r="Y10" i="11"/>
  <c r="Z10" i="11"/>
  <c r="C45" i="11"/>
  <c r="D45" i="11"/>
  <c r="AA24" i="11" l="1"/>
  <c r="S36" i="18"/>
  <c r="S28" i="8"/>
  <c r="W29" i="8"/>
  <c r="U29" i="8"/>
  <c r="P29" i="8"/>
  <c r="N29" i="8"/>
  <c r="H21" i="8"/>
  <c r="T29" i="8"/>
  <c r="Y29" i="8"/>
  <c r="X29" i="8"/>
  <c r="V29" i="8"/>
  <c r="R29" i="8"/>
  <c r="S29" i="8"/>
  <c r="Q29" i="8"/>
  <c r="P28" i="8"/>
  <c r="Q28" i="8"/>
  <c r="L29" i="8"/>
  <c r="H29" i="8"/>
  <c r="N9" i="8"/>
  <c r="M29" i="8"/>
  <c r="K29" i="8"/>
  <c r="O29" i="8"/>
  <c r="G29" i="8"/>
  <c r="J29" i="8"/>
  <c r="H28" i="8"/>
  <c r="G28" i="8"/>
  <c r="O28" i="8"/>
  <c r="K28" i="8"/>
  <c r="L28" i="8"/>
  <c r="J28" i="8"/>
  <c r="I28" i="8"/>
  <c r="N28" i="8"/>
  <c r="D38" i="18"/>
  <c r="D27" i="18"/>
  <c r="E75" i="18"/>
  <c r="E77" i="18" s="1"/>
  <c r="L36" i="18"/>
  <c r="AF45" i="18"/>
  <c r="AG43" i="18"/>
  <c r="D37" i="18"/>
  <c r="C68" i="8"/>
  <c r="D74" i="8"/>
  <c r="M33" i="8"/>
  <c r="H33" i="8"/>
  <c r="P21" i="8"/>
  <c r="G21" i="8"/>
  <c r="M9" i="8"/>
  <c r="P9" i="8"/>
  <c r="O33" i="8"/>
  <c r="Q33" i="8"/>
  <c r="P33" i="8"/>
  <c r="G33" i="8"/>
  <c r="E67" i="8"/>
  <c r="R9" i="8"/>
  <c r="D68" i="8"/>
  <c r="C74" i="8"/>
  <c r="D76" i="8"/>
  <c r="C76" i="8"/>
  <c r="K9" i="8"/>
  <c r="D11" i="8"/>
  <c r="Q9" i="8"/>
  <c r="S33" i="8"/>
  <c r="L9" i="8"/>
  <c r="R33" i="8"/>
  <c r="K21" i="8"/>
  <c r="F21" i="8"/>
  <c r="K33" i="8"/>
  <c r="N21" i="8"/>
  <c r="F33" i="8"/>
  <c r="J21" i="8"/>
  <c r="Q21" i="8"/>
  <c r="M21" i="8"/>
  <c r="L33" i="8"/>
  <c r="R21" i="8"/>
  <c r="N33" i="8"/>
  <c r="G9" i="8"/>
  <c r="J33" i="8"/>
  <c r="D23" i="8"/>
  <c r="D35" i="8"/>
  <c r="L21" i="8"/>
  <c r="O21" i="8"/>
  <c r="F9" i="8"/>
  <c r="H18" i="7"/>
  <c r="H27" i="7"/>
  <c r="H20" i="7" s="1"/>
  <c r="H26" i="7"/>
  <c r="H19" i="7" s="1"/>
  <c r="H30" i="7"/>
  <c r="H23" i="7" s="1"/>
  <c r="L18" i="7"/>
  <c r="L27" i="7"/>
  <c r="L20" i="7" s="1"/>
  <c r="L26" i="7"/>
  <c r="L19" i="7" s="1"/>
  <c r="L30" i="7"/>
  <c r="L23" i="7" s="1"/>
  <c r="P18" i="7"/>
  <c r="P27" i="7"/>
  <c r="P20" i="7" s="1"/>
  <c r="P26" i="7"/>
  <c r="P19" i="7" s="1"/>
  <c r="P30" i="7"/>
  <c r="P23" i="7" s="1"/>
  <c r="T18" i="7"/>
  <c r="T27" i="7"/>
  <c r="T20" i="7" s="1"/>
  <c r="T26" i="7"/>
  <c r="T19" i="7" s="1"/>
  <c r="T30" i="7"/>
  <c r="T23" i="7" s="1"/>
  <c r="X18" i="7"/>
  <c r="X27" i="7"/>
  <c r="X20" i="7" s="1"/>
  <c r="X26" i="7"/>
  <c r="X19" i="7" s="1"/>
  <c r="X30" i="7"/>
  <c r="X23" i="7" s="1"/>
  <c r="AB18" i="7"/>
  <c r="AB27" i="7"/>
  <c r="AB20" i="7" s="1"/>
  <c r="AB26" i="7"/>
  <c r="AB19" i="7" s="1"/>
  <c r="AB30" i="7"/>
  <c r="AB23" i="7" s="1"/>
  <c r="AF18" i="7"/>
  <c r="AF27" i="7"/>
  <c r="AF20" i="7" s="1"/>
  <c r="AF26" i="7"/>
  <c r="AF19" i="7" s="1"/>
  <c r="AF30" i="7"/>
  <c r="AF23" i="7" s="1"/>
  <c r="AJ18" i="7"/>
  <c r="AJ27" i="7"/>
  <c r="AJ20" i="7" s="1"/>
  <c r="AJ26" i="7"/>
  <c r="AJ19" i="7" s="1"/>
  <c r="AJ30" i="7"/>
  <c r="AJ23" i="7" s="1"/>
  <c r="I26" i="7"/>
  <c r="I19" i="7" s="1"/>
  <c r="I30" i="7"/>
  <c r="I23" i="7" s="1"/>
  <c r="I18" i="7"/>
  <c r="I27" i="7"/>
  <c r="I20" i="7" s="1"/>
  <c r="M26" i="7"/>
  <c r="M19" i="7" s="1"/>
  <c r="M30" i="7"/>
  <c r="M23" i="7" s="1"/>
  <c r="M18" i="7"/>
  <c r="M27" i="7"/>
  <c r="M20" i="7" s="1"/>
  <c r="Q26" i="7"/>
  <c r="Q19" i="7" s="1"/>
  <c r="Q30" i="7"/>
  <c r="Q23" i="7" s="1"/>
  <c r="Q18" i="7"/>
  <c r="Q27" i="7"/>
  <c r="Q20" i="7" s="1"/>
  <c r="U26" i="7"/>
  <c r="U19" i="7" s="1"/>
  <c r="U30" i="7"/>
  <c r="U23" i="7" s="1"/>
  <c r="U18" i="7"/>
  <c r="U27" i="7"/>
  <c r="U20" i="7" s="1"/>
  <c r="Y26" i="7"/>
  <c r="Y19" i="7" s="1"/>
  <c r="Y30" i="7"/>
  <c r="Y23" i="7" s="1"/>
  <c r="Y18" i="7"/>
  <c r="Y27" i="7"/>
  <c r="Y20" i="7" s="1"/>
  <c r="AC26" i="7"/>
  <c r="AC19" i="7" s="1"/>
  <c r="AC30" i="7"/>
  <c r="AC23" i="7" s="1"/>
  <c r="AC18" i="7"/>
  <c r="AC27" i="7"/>
  <c r="AC20" i="7" s="1"/>
  <c r="AG26" i="7"/>
  <c r="AG19" i="7" s="1"/>
  <c r="AG30" i="7"/>
  <c r="AG23" i="7" s="1"/>
  <c r="AG18" i="7"/>
  <c r="AG27" i="7"/>
  <c r="AG20" i="7" s="1"/>
  <c r="AK26" i="7"/>
  <c r="AK19" i="7" s="1"/>
  <c r="AK30" i="7"/>
  <c r="AK23" i="7" s="1"/>
  <c r="AK18" i="7"/>
  <c r="AK27" i="7"/>
  <c r="AK20" i="7" s="1"/>
  <c r="I47" i="7"/>
  <c r="I53" i="7"/>
  <c r="I49" i="7" s="1"/>
  <c r="I52" i="7"/>
  <c r="I48" i="7" s="1"/>
  <c r="I56" i="7"/>
  <c r="I50" i="7" s="1"/>
  <c r="M47" i="7"/>
  <c r="M53" i="7"/>
  <c r="M49" i="7" s="1"/>
  <c r="M52" i="7"/>
  <c r="M48" i="7" s="1"/>
  <c r="M56" i="7"/>
  <c r="M50" i="7" s="1"/>
  <c r="Q47" i="7"/>
  <c r="Q53" i="7"/>
  <c r="Q49" i="7" s="1"/>
  <c r="Q52" i="7"/>
  <c r="Q48" i="7" s="1"/>
  <c r="Q56" i="7"/>
  <c r="Q50" i="7" s="1"/>
  <c r="U47" i="7"/>
  <c r="U53" i="7"/>
  <c r="U49" i="7" s="1"/>
  <c r="U52" i="7"/>
  <c r="U48" i="7" s="1"/>
  <c r="U56" i="7"/>
  <c r="U50" i="7" s="1"/>
  <c r="Y47" i="7"/>
  <c r="Y53" i="7"/>
  <c r="Y49" i="7" s="1"/>
  <c r="Y52" i="7"/>
  <c r="Y48" i="7" s="1"/>
  <c r="Y56" i="7"/>
  <c r="Y50" i="7" s="1"/>
  <c r="AC47" i="7"/>
  <c r="AC53" i="7"/>
  <c r="AC49" i="7" s="1"/>
  <c r="AC52" i="7"/>
  <c r="AC48" i="7" s="1"/>
  <c r="AC56" i="7"/>
  <c r="AC50" i="7" s="1"/>
  <c r="AG47" i="7"/>
  <c r="AG53" i="7"/>
  <c r="AG49" i="7" s="1"/>
  <c r="AG52" i="7"/>
  <c r="AG48" i="7" s="1"/>
  <c r="AG56" i="7"/>
  <c r="AG50" i="7" s="1"/>
  <c r="AK47" i="7"/>
  <c r="AK53" i="7"/>
  <c r="AK49" i="7" s="1"/>
  <c r="AK52" i="7"/>
  <c r="AK48" i="7" s="1"/>
  <c r="AK56" i="7"/>
  <c r="AK50" i="7" s="1"/>
  <c r="H47" i="7"/>
  <c r="H52" i="7"/>
  <c r="H48" i="7" s="1"/>
  <c r="H56" i="7"/>
  <c r="H50" i="7" s="1"/>
  <c r="H53" i="7"/>
  <c r="H49" i="7" s="1"/>
  <c r="L47" i="7"/>
  <c r="L52" i="7"/>
  <c r="L48" i="7" s="1"/>
  <c r="L56" i="7"/>
  <c r="L50" i="7" s="1"/>
  <c r="L53" i="7"/>
  <c r="L49" i="7" s="1"/>
  <c r="P47" i="7"/>
  <c r="P52" i="7"/>
  <c r="P48" i="7" s="1"/>
  <c r="P56" i="7"/>
  <c r="P50" i="7" s="1"/>
  <c r="P53" i="7"/>
  <c r="P49" i="7" s="1"/>
  <c r="T47" i="7"/>
  <c r="T52" i="7"/>
  <c r="T48" i="7" s="1"/>
  <c r="T56" i="7"/>
  <c r="T50" i="7" s="1"/>
  <c r="T53" i="7"/>
  <c r="T49" i="7" s="1"/>
  <c r="X52" i="7"/>
  <c r="X48" i="7" s="1"/>
  <c r="X56" i="7"/>
  <c r="X50" i="7" s="1"/>
  <c r="X47" i="7"/>
  <c r="X53" i="7"/>
  <c r="X49" i="7" s="1"/>
  <c r="AB52" i="7"/>
  <c r="AB48" i="7" s="1"/>
  <c r="AB56" i="7"/>
  <c r="AB50" i="7" s="1"/>
  <c r="AB47" i="7"/>
  <c r="AB53" i="7"/>
  <c r="AB49" i="7" s="1"/>
  <c r="AF52" i="7"/>
  <c r="AF48" i="7" s="1"/>
  <c r="AF56" i="7"/>
  <c r="AF50" i="7" s="1"/>
  <c r="AF47" i="7"/>
  <c r="AF53" i="7"/>
  <c r="AF49" i="7" s="1"/>
  <c r="AJ52" i="7"/>
  <c r="AJ48" i="7" s="1"/>
  <c r="AJ56" i="7"/>
  <c r="AJ50" i="7" s="1"/>
  <c r="AJ47" i="7"/>
  <c r="AJ53" i="7"/>
  <c r="AJ49" i="7" s="1"/>
  <c r="J18" i="7"/>
  <c r="J27" i="7"/>
  <c r="J20" i="7" s="1"/>
  <c r="J26" i="7"/>
  <c r="J19" i="7" s="1"/>
  <c r="J30" i="7"/>
  <c r="J23" i="7" s="1"/>
  <c r="N18" i="7"/>
  <c r="N27" i="7"/>
  <c r="N20" i="7" s="1"/>
  <c r="N26" i="7"/>
  <c r="N19" i="7" s="1"/>
  <c r="N30" i="7"/>
  <c r="N23" i="7" s="1"/>
  <c r="R18" i="7"/>
  <c r="R27" i="7"/>
  <c r="R20" i="7" s="1"/>
  <c r="R26" i="7"/>
  <c r="R19" i="7" s="1"/>
  <c r="R30" i="7"/>
  <c r="R23" i="7" s="1"/>
  <c r="V18" i="7"/>
  <c r="V27" i="7"/>
  <c r="V20" i="7" s="1"/>
  <c r="V26" i="7"/>
  <c r="V19" i="7" s="1"/>
  <c r="V30" i="7"/>
  <c r="V23" i="7" s="1"/>
  <c r="Z18" i="7"/>
  <c r="Z27" i="7"/>
  <c r="Z20" i="7" s="1"/>
  <c r="Z26" i="7"/>
  <c r="Z19" i="7" s="1"/>
  <c r="Z30" i="7"/>
  <c r="Z23" i="7" s="1"/>
  <c r="AD18" i="7"/>
  <c r="AD27" i="7"/>
  <c r="AD20" i="7" s="1"/>
  <c r="AD26" i="7"/>
  <c r="AD19" i="7" s="1"/>
  <c r="AD30" i="7"/>
  <c r="AD23" i="7" s="1"/>
  <c r="AH18" i="7"/>
  <c r="AH27" i="7"/>
  <c r="AH20" i="7" s="1"/>
  <c r="AH26" i="7"/>
  <c r="AH19" i="7" s="1"/>
  <c r="AH30" i="7"/>
  <c r="AH23" i="7" s="1"/>
  <c r="G26" i="7"/>
  <c r="G19" i="7" s="1"/>
  <c r="G30" i="7"/>
  <c r="G23" i="7" s="1"/>
  <c r="G18" i="7"/>
  <c r="G27" i="7"/>
  <c r="G20" i="7" s="1"/>
  <c r="K26" i="7"/>
  <c r="K19" i="7" s="1"/>
  <c r="K30" i="7"/>
  <c r="K23" i="7" s="1"/>
  <c r="K18" i="7"/>
  <c r="K27" i="7"/>
  <c r="K20" i="7" s="1"/>
  <c r="O26" i="7"/>
  <c r="O19" i="7" s="1"/>
  <c r="O30" i="7"/>
  <c r="O23" i="7" s="1"/>
  <c r="O18" i="7"/>
  <c r="O27" i="7"/>
  <c r="O20" i="7" s="1"/>
  <c r="S26" i="7"/>
  <c r="S19" i="7" s="1"/>
  <c r="S30" i="7"/>
  <c r="S23" i="7" s="1"/>
  <c r="S18" i="7"/>
  <c r="S27" i="7"/>
  <c r="S20" i="7" s="1"/>
  <c r="W26" i="7"/>
  <c r="W19" i="7" s="1"/>
  <c r="W30" i="7"/>
  <c r="W23" i="7" s="1"/>
  <c r="W18" i="7"/>
  <c r="W27" i="7"/>
  <c r="W20" i="7" s="1"/>
  <c r="AA26" i="7"/>
  <c r="AA19" i="7" s="1"/>
  <c r="AA30" i="7"/>
  <c r="AA23" i="7" s="1"/>
  <c r="AA18" i="7"/>
  <c r="AA27" i="7"/>
  <c r="AA20" i="7" s="1"/>
  <c r="AE26" i="7"/>
  <c r="AE19" i="7" s="1"/>
  <c r="AE30" i="7"/>
  <c r="AE23" i="7" s="1"/>
  <c r="AE18" i="7"/>
  <c r="AE27" i="7"/>
  <c r="AE20" i="7" s="1"/>
  <c r="AI26" i="7"/>
  <c r="AI19" i="7" s="1"/>
  <c r="AI30" i="7"/>
  <c r="AI23" i="7" s="1"/>
  <c r="AI18" i="7"/>
  <c r="AI27" i="7"/>
  <c r="AI20" i="7" s="1"/>
  <c r="G47" i="7"/>
  <c r="G53" i="7"/>
  <c r="G49" i="7" s="1"/>
  <c r="G52" i="7"/>
  <c r="G48" i="7" s="1"/>
  <c r="G56" i="7"/>
  <c r="G50" i="7" s="1"/>
  <c r="K47" i="7"/>
  <c r="K53" i="7"/>
  <c r="K49" i="7" s="1"/>
  <c r="K52" i="7"/>
  <c r="K48" i="7" s="1"/>
  <c r="K56" i="7"/>
  <c r="K50" i="7" s="1"/>
  <c r="O47" i="7"/>
  <c r="O53" i="7"/>
  <c r="O49" i="7" s="1"/>
  <c r="O52" i="7"/>
  <c r="O48" i="7" s="1"/>
  <c r="O56" i="7"/>
  <c r="O50" i="7" s="1"/>
  <c r="S47" i="7"/>
  <c r="S53" i="7"/>
  <c r="S49" i="7" s="1"/>
  <c r="S52" i="7"/>
  <c r="S48" i="7" s="1"/>
  <c r="S56" i="7"/>
  <c r="S50" i="7" s="1"/>
  <c r="W47" i="7"/>
  <c r="W53" i="7"/>
  <c r="W49" i="7" s="1"/>
  <c r="W52" i="7"/>
  <c r="W48" i="7" s="1"/>
  <c r="W56" i="7"/>
  <c r="W50" i="7" s="1"/>
  <c r="AA47" i="7"/>
  <c r="AA53" i="7"/>
  <c r="AA49" i="7" s="1"/>
  <c r="AA52" i="7"/>
  <c r="AA48" i="7" s="1"/>
  <c r="AA56" i="7"/>
  <c r="AA50" i="7" s="1"/>
  <c r="AE47" i="7"/>
  <c r="AE53" i="7"/>
  <c r="AE49" i="7" s="1"/>
  <c r="AE52" i="7"/>
  <c r="AE48" i="7" s="1"/>
  <c r="AE56" i="7"/>
  <c r="AE50" i="7" s="1"/>
  <c r="AI47" i="7"/>
  <c r="AI53" i="7"/>
  <c r="AI49" i="7" s="1"/>
  <c r="AI52" i="7"/>
  <c r="AI48" i="7" s="1"/>
  <c r="AI56" i="7"/>
  <c r="AI50" i="7" s="1"/>
  <c r="J47" i="7"/>
  <c r="J52" i="7"/>
  <c r="J48" i="7" s="1"/>
  <c r="J56" i="7"/>
  <c r="J50" i="7" s="1"/>
  <c r="J53" i="7"/>
  <c r="J49" i="7" s="1"/>
  <c r="N47" i="7"/>
  <c r="N52" i="7"/>
  <c r="N48" i="7" s="1"/>
  <c r="N56" i="7"/>
  <c r="N50" i="7" s="1"/>
  <c r="N53" i="7"/>
  <c r="N49" i="7" s="1"/>
  <c r="R47" i="7"/>
  <c r="R52" i="7"/>
  <c r="R48" i="7" s="1"/>
  <c r="R56" i="7"/>
  <c r="R50" i="7" s="1"/>
  <c r="R53" i="7"/>
  <c r="R49" i="7" s="1"/>
  <c r="V47" i="7"/>
  <c r="V52" i="7"/>
  <c r="V48" i="7" s="1"/>
  <c r="V56" i="7"/>
  <c r="V50" i="7" s="1"/>
  <c r="V53" i="7"/>
  <c r="V49" i="7" s="1"/>
  <c r="Z52" i="7"/>
  <c r="Z48" i="7" s="1"/>
  <c r="Z56" i="7"/>
  <c r="Z50" i="7" s="1"/>
  <c r="Z47" i="7"/>
  <c r="Z53" i="7"/>
  <c r="Z49" i="7" s="1"/>
  <c r="AD52" i="7"/>
  <c r="AD48" i="7" s="1"/>
  <c r="AD56" i="7"/>
  <c r="AD50" i="7" s="1"/>
  <c r="AD47" i="7"/>
  <c r="AD53" i="7"/>
  <c r="AD49" i="7" s="1"/>
  <c r="AH52" i="7"/>
  <c r="AH48" i="7" s="1"/>
  <c r="AH56" i="7"/>
  <c r="AH50" i="7" s="1"/>
  <c r="AH47" i="7"/>
  <c r="AH53" i="7"/>
  <c r="AH49" i="7" s="1"/>
  <c r="G73" i="7"/>
  <c r="U6" i="8"/>
  <c r="V6" i="8"/>
  <c r="W6" i="8"/>
  <c r="X6" i="8"/>
  <c r="Y6" i="8"/>
  <c r="Z6" i="8"/>
  <c r="T6" i="8"/>
  <c r="D7" i="17"/>
  <c r="D9" i="17" s="1"/>
  <c r="I5" i="17"/>
  <c r="I3" i="17"/>
  <c r="I991" i="16"/>
  <c r="I990" i="16"/>
  <c r="I989" i="16"/>
  <c r="I987" i="16"/>
  <c r="I986" i="16"/>
  <c r="I985" i="16"/>
  <c r="I984" i="16"/>
  <c r="I148" i="16"/>
  <c r="H148" i="16"/>
  <c r="G148" i="16"/>
  <c r="G146" i="16" s="1"/>
  <c r="F148" i="16"/>
  <c r="E148" i="16"/>
  <c r="D148" i="16"/>
  <c r="C148" i="16"/>
  <c r="I147" i="16"/>
  <c r="I146" i="16" s="1"/>
  <c r="H147" i="16"/>
  <c r="H146" i="16" s="1"/>
  <c r="G147" i="16"/>
  <c r="F147" i="16"/>
  <c r="E147" i="16"/>
  <c r="E146" i="16" s="1"/>
  <c r="D147" i="16"/>
  <c r="D146" i="16" s="1"/>
  <c r="C147" i="16"/>
  <c r="I145" i="16"/>
  <c r="H145" i="16"/>
  <c r="G145" i="16"/>
  <c r="F145" i="16"/>
  <c r="E145" i="16"/>
  <c r="D145" i="16"/>
  <c r="C145" i="16"/>
  <c r="I144" i="16"/>
  <c r="H144" i="16"/>
  <c r="H143" i="16" s="1"/>
  <c r="G144" i="16"/>
  <c r="F144" i="16"/>
  <c r="E144" i="16"/>
  <c r="D144" i="16"/>
  <c r="D143" i="16" s="1"/>
  <c r="C144" i="16"/>
  <c r="I142" i="16"/>
  <c r="H142" i="16"/>
  <c r="G142" i="16"/>
  <c r="F142" i="16"/>
  <c r="E142" i="16"/>
  <c r="D142" i="16"/>
  <c r="C142" i="16"/>
  <c r="I141" i="16"/>
  <c r="I140" i="16" s="1"/>
  <c r="H141" i="16"/>
  <c r="G141" i="16"/>
  <c r="F141" i="16"/>
  <c r="E141" i="16"/>
  <c r="E140" i="16" s="1"/>
  <c r="D141" i="16"/>
  <c r="D140" i="16" s="1"/>
  <c r="C141" i="16"/>
  <c r="C140" i="16" s="1"/>
  <c r="G140" i="16"/>
  <c r="I139" i="16"/>
  <c r="H139" i="16"/>
  <c r="H137" i="16" s="1"/>
  <c r="G139" i="16"/>
  <c r="F139" i="16"/>
  <c r="E139" i="16"/>
  <c r="D139" i="16"/>
  <c r="D137" i="16" s="1"/>
  <c r="C139" i="16"/>
  <c r="I138" i="16"/>
  <c r="H138" i="16"/>
  <c r="G138" i="16"/>
  <c r="F138" i="16"/>
  <c r="F137" i="16" s="1"/>
  <c r="E138" i="16"/>
  <c r="E137" i="16" s="1"/>
  <c r="D138" i="16"/>
  <c r="C138" i="16"/>
  <c r="C137" i="16" s="1"/>
  <c r="I136" i="16"/>
  <c r="H136" i="16"/>
  <c r="G136" i="16"/>
  <c r="F136" i="16"/>
  <c r="E136" i="16"/>
  <c r="D136" i="16"/>
  <c r="C136" i="16"/>
  <c r="I135" i="16"/>
  <c r="I134" i="16" s="1"/>
  <c r="H135" i="16"/>
  <c r="G135" i="16"/>
  <c r="G134" i="16" s="1"/>
  <c r="F135" i="16"/>
  <c r="F134" i="16" s="1"/>
  <c r="E135" i="16"/>
  <c r="D135" i="16"/>
  <c r="D134" i="16" s="1"/>
  <c r="C135" i="16"/>
  <c r="E134" i="16"/>
  <c r="C134" i="16"/>
  <c r="I133" i="16"/>
  <c r="H133" i="16"/>
  <c r="G133" i="16"/>
  <c r="F133" i="16"/>
  <c r="E133" i="16"/>
  <c r="D133" i="16"/>
  <c r="D131" i="16" s="1"/>
  <c r="C133" i="16"/>
  <c r="C131" i="16" s="1"/>
  <c r="I132" i="16"/>
  <c r="I131" i="16" s="1"/>
  <c r="H132" i="16"/>
  <c r="H131" i="16" s="1"/>
  <c r="G132" i="16"/>
  <c r="F132" i="16"/>
  <c r="F131" i="16" s="1"/>
  <c r="E132" i="16"/>
  <c r="E131" i="16" s="1"/>
  <c r="D132" i="16"/>
  <c r="C132" i="16"/>
  <c r="G131" i="16"/>
  <c r="I130" i="16"/>
  <c r="H130" i="16"/>
  <c r="G130" i="16"/>
  <c r="F130" i="16"/>
  <c r="E130" i="16"/>
  <c r="D130" i="16"/>
  <c r="C130" i="16"/>
  <c r="I129" i="16"/>
  <c r="I128" i="16" s="1"/>
  <c r="H129" i="16"/>
  <c r="G129" i="16"/>
  <c r="F129" i="16"/>
  <c r="F128" i="16" s="1"/>
  <c r="E129" i="16"/>
  <c r="E128" i="16" s="1"/>
  <c r="D129" i="16"/>
  <c r="D128" i="16" s="1"/>
  <c r="C129" i="16"/>
  <c r="H128" i="16"/>
  <c r="G128" i="16"/>
  <c r="C128" i="16"/>
  <c r="I127" i="16"/>
  <c r="H127" i="16"/>
  <c r="G127" i="16"/>
  <c r="G125" i="16" s="1"/>
  <c r="F127" i="16"/>
  <c r="E127" i="16"/>
  <c r="D127" i="16"/>
  <c r="C127" i="16"/>
  <c r="I126" i="16"/>
  <c r="I125" i="16" s="1"/>
  <c r="H126" i="16"/>
  <c r="G126" i="16"/>
  <c r="F126" i="16"/>
  <c r="F125" i="16" s="1"/>
  <c r="E126" i="16"/>
  <c r="D126" i="16"/>
  <c r="C126" i="16"/>
  <c r="C125" i="16" s="1"/>
  <c r="H125" i="16"/>
  <c r="E125" i="16"/>
  <c r="D125" i="16"/>
  <c r="I124" i="16"/>
  <c r="H124" i="16"/>
  <c r="G124" i="16"/>
  <c r="F124" i="16"/>
  <c r="E124" i="16"/>
  <c r="D124" i="16"/>
  <c r="D122" i="16" s="1"/>
  <c r="C124" i="16"/>
  <c r="I123" i="16"/>
  <c r="H123" i="16"/>
  <c r="H122" i="16" s="1"/>
  <c r="G123" i="16"/>
  <c r="G122" i="16" s="1"/>
  <c r="F123" i="16"/>
  <c r="F122" i="16" s="1"/>
  <c r="E123" i="16"/>
  <c r="D123" i="16"/>
  <c r="C123" i="16"/>
  <c r="C122" i="16" s="1"/>
  <c r="I122" i="16"/>
  <c r="E122" i="16"/>
  <c r="I121" i="16"/>
  <c r="I119" i="16" s="1"/>
  <c r="H121" i="16"/>
  <c r="G121" i="16"/>
  <c r="F121" i="16"/>
  <c r="E121" i="16"/>
  <c r="D121" i="16"/>
  <c r="C121" i="16"/>
  <c r="I120" i="16"/>
  <c r="H120" i="16"/>
  <c r="H119" i="16" s="1"/>
  <c r="G120" i="16"/>
  <c r="F120" i="16"/>
  <c r="E120" i="16"/>
  <c r="E119" i="16" s="1"/>
  <c r="D120" i="16"/>
  <c r="D119" i="16" s="1"/>
  <c r="C120" i="16"/>
  <c r="C119" i="16" s="1"/>
  <c r="G119" i="16"/>
  <c r="F119" i="16"/>
  <c r="I118" i="16"/>
  <c r="H118" i="16"/>
  <c r="G118" i="16"/>
  <c r="F118" i="16"/>
  <c r="F116" i="16" s="1"/>
  <c r="E118" i="16"/>
  <c r="D118" i="16"/>
  <c r="C118" i="16"/>
  <c r="I117" i="16"/>
  <c r="I116" i="16" s="1"/>
  <c r="H117" i="16"/>
  <c r="H116" i="16" s="1"/>
  <c r="G117" i="16"/>
  <c r="F117" i="16"/>
  <c r="E117" i="16"/>
  <c r="E116" i="16" s="1"/>
  <c r="D117" i="16"/>
  <c r="C117" i="16"/>
  <c r="G116" i="16"/>
  <c r="D116" i="16"/>
  <c r="C116" i="16"/>
  <c r="I115" i="16"/>
  <c r="H115" i="16"/>
  <c r="G115" i="16"/>
  <c r="F115" i="16"/>
  <c r="E115" i="16"/>
  <c r="D115" i="16"/>
  <c r="C115" i="16"/>
  <c r="C113" i="16" s="1"/>
  <c r="I114" i="16"/>
  <c r="H114" i="16"/>
  <c r="G114" i="16"/>
  <c r="G113" i="16" s="1"/>
  <c r="F114" i="16"/>
  <c r="F113" i="16" s="1"/>
  <c r="E114" i="16"/>
  <c r="E113" i="16" s="1"/>
  <c r="D114" i="16"/>
  <c r="C114" i="16"/>
  <c r="I113" i="16"/>
  <c r="H113" i="16"/>
  <c r="D113" i="16"/>
  <c r="I112" i="16"/>
  <c r="H112" i="16"/>
  <c r="H110" i="16" s="1"/>
  <c r="G112" i="16"/>
  <c r="F112" i="16"/>
  <c r="E112" i="16"/>
  <c r="D112" i="16"/>
  <c r="C112" i="16"/>
  <c r="I111" i="16"/>
  <c r="H111" i="16"/>
  <c r="G111" i="16"/>
  <c r="G110" i="16" s="1"/>
  <c r="F111" i="16"/>
  <c r="E111" i="16"/>
  <c r="D111" i="16"/>
  <c r="D110" i="16" s="1"/>
  <c r="C111" i="16"/>
  <c r="C110" i="16" s="1"/>
  <c r="I110" i="16"/>
  <c r="F110" i="16"/>
  <c r="E110" i="16"/>
  <c r="I109" i="16"/>
  <c r="H109" i="16"/>
  <c r="G109" i="16"/>
  <c r="F109" i="16"/>
  <c r="E109" i="16"/>
  <c r="E107" i="16" s="1"/>
  <c r="D109" i="16"/>
  <c r="C109" i="16"/>
  <c r="I108" i="16"/>
  <c r="I107" i="16" s="1"/>
  <c r="H108" i="16"/>
  <c r="H107" i="16" s="1"/>
  <c r="G108" i="16"/>
  <c r="G107" i="16" s="1"/>
  <c r="F108" i="16"/>
  <c r="E108" i="16"/>
  <c r="D108" i="16"/>
  <c r="D107" i="16" s="1"/>
  <c r="C108" i="16"/>
  <c r="F107" i="16"/>
  <c r="C107" i="16"/>
  <c r="I106" i="16"/>
  <c r="H106" i="16"/>
  <c r="G106" i="16"/>
  <c r="F106" i="16"/>
  <c r="E106" i="16"/>
  <c r="D106" i="16"/>
  <c r="C106" i="16"/>
  <c r="I105" i="16"/>
  <c r="I104" i="16" s="1"/>
  <c r="H105" i="16"/>
  <c r="G105" i="16"/>
  <c r="F105" i="16"/>
  <c r="F104" i="16" s="1"/>
  <c r="E105" i="16"/>
  <c r="E104" i="16" s="1"/>
  <c r="D105" i="16"/>
  <c r="D104" i="16" s="1"/>
  <c r="C105" i="16"/>
  <c r="H104" i="16"/>
  <c r="G104" i="16"/>
  <c r="C104" i="16"/>
  <c r="I103" i="16"/>
  <c r="H103" i="16"/>
  <c r="G103" i="16"/>
  <c r="G101" i="16" s="1"/>
  <c r="F103" i="16"/>
  <c r="E103" i="16"/>
  <c r="D103" i="16"/>
  <c r="C103" i="16"/>
  <c r="I102" i="16"/>
  <c r="I101" i="16" s="1"/>
  <c r="H102" i="16"/>
  <c r="G102" i="16"/>
  <c r="F102" i="16"/>
  <c r="F101" i="16" s="1"/>
  <c r="E102" i="16"/>
  <c r="D102" i="16"/>
  <c r="C102" i="16"/>
  <c r="C101" i="16" s="1"/>
  <c r="H101" i="16"/>
  <c r="E101" i="16"/>
  <c r="D101" i="16"/>
  <c r="I100" i="16"/>
  <c r="H100" i="16"/>
  <c r="G100" i="16"/>
  <c r="F100" i="16"/>
  <c r="E100" i="16"/>
  <c r="D100" i="16"/>
  <c r="D98" i="16" s="1"/>
  <c r="C100" i="16"/>
  <c r="I99" i="16"/>
  <c r="H99" i="16"/>
  <c r="H98" i="16" s="1"/>
  <c r="G99" i="16"/>
  <c r="G98" i="16" s="1"/>
  <c r="F99" i="16"/>
  <c r="F98" i="16" s="1"/>
  <c r="E99" i="16"/>
  <c r="D99" i="16"/>
  <c r="C99" i="16"/>
  <c r="C98" i="16" s="1"/>
  <c r="I98" i="16"/>
  <c r="E98" i="16"/>
  <c r="I97" i="16"/>
  <c r="I95" i="16" s="1"/>
  <c r="H97" i="16"/>
  <c r="G97" i="16"/>
  <c r="F97" i="16"/>
  <c r="E97" i="16"/>
  <c r="D97" i="16"/>
  <c r="C97" i="16"/>
  <c r="I96" i="16"/>
  <c r="H96" i="16"/>
  <c r="H95" i="16" s="1"/>
  <c r="G96" i="16"/>
  <c r="F96" i="16"/>
  <c r="E96" i="16"/>
  <c r="E95" i="16" s="1"/>
  <c r="D96" i="16"/>
  <c r="D95" i="16" s="1"/>
  <c r="C96" i="16"/>
  <c r="C95" i="16" s="1"/>
  <c r="G95" i="16"/>
  <c r="F95" i="16"/>
  <c r="I94" i="16"/>
  <c r="H94" i="16"/>
  <c r="G94" i="16"/>
  <c r="F94" i="16"/>
  <c r="F92" i="16" s="1"/>
  <c r="E94" i="16"/>
  <c r="D94" i="16"/>
  <c r="C94" i="16"/>
  <c r="I93" i="16"/>
  <c r="I92" i="16" s="1"/>
  <c r="H93" i="16"/>
  <c r="H92" i="16" s="1"/>
  <c r="G93" i="16"/>
  <c r="F93" i="16"/>
  <c r="E93" i="16"/>
  <c r="E92" i="16" s="1"/>
  <c r="D93" i="16"/>
  <c r="C93" i="16"/>
  <c r="G92" i="16"/>
  <c r="D92" i="16"/>
  <c r="C92" i="16"/>
  <c r="I91" i="16"/>
  <c r="H91" i="16"/>
  <c r="G91" i="16"/>
  <c r="F91" i="16"/>
  <c r="E91" i="16"/>
  <c r="D91" i="16"/>
  <c r="C91" i="16"/>
  <c r="C89" i="16" s="1"/>
  <c r="I90" i="16"/>
  <c r="H90" i="16"/>
  <c r="G90" i="16"/>
  <c r="G89" i="16" s="1"/>
  <c r="F90" i="16"/>
  <c r="F89" i="16" s="1"/>
  <c r="E90" i="16"/>
  <c r="E89" i="16" s="1"/>
  <c r="D90" i="16"/>
  <c r="C90" i="16"/>
  <c r="I89" i="16"/>
  <c r="H89" i="16"/>
  <c r="D89" i="16"/>
  <c r="I88" i="16"/>
  <c r="H88" i="16"/>
  <c r="H86" i="16" s="1"/>
  <c r="G88" i="16"/>
  <c r="F88" i="16"/>
  <c r="E88" i="16"/>
  <c r="D88" i="16"/>
  <c r="C88" i="16"/>
  <c r="I87" i="16"/>
  <c r="H87" i="16"/>
  <c r="G87" i="16"/>
  <c r="G86" i="16" s="1"/>
  <c r="F87" i="16"/>
  <c r="E87" i="16"/>
  <c r="D87" i="16"/>
  <c r="D86" i="16" s="1"/>
  <c r="C87" i="16"/>
  <c r="C86" i="16" s="1"/>
  <c r="I86" i="16"/>
  <c r="F86" i="16"/>
  <c r="E86" i="16"/>
  <c r="I85" i="16"/>
  <c r="H85" i="16"/>
  <c r="G85" i="16"/>
  <c r="F85" i="16"/>
  <c r="E85" i="16"/>
  <c r="E83" i="16" s="1"/>
  <c r="D85" i="16"/>
  <c r="C85" i="16"/>
  <c r="I84" i="16"/>
  <c r="I83" i="16" s="1"/>
  <c r="H84" i="16"/>
  <c r="H83" i="16" s="1"/>
  <c r="G84" i="16"/>
  <c r="G83" i="16" s="1"/>
  <c r="F84" i="16"/>
  <c r="E84" i="16"/>
  <c r="D84" i="16"/>
  <c r="D83" i="16" s="1"/>
  <c r="C84" i="16"/>
  <c r="F83" i="16"/>
  <c r="C83" i="16"/>
  <c r="I82" i="16"/>
  <c r="H82" i="16"/>
  <c r="G82" i="16"/>
  <c r="F82" i="16"/>
  <c r="E82" i="16"/>
  <c r="D82" i="16"/>
  <c r="C82" i="16"/>
  <c r="I81" i="16"/>
  <c r="I80" i="16" s="1"/>
  <c r="H81" i="16"/>
  <c r="G81" i="16"/>
  <c r="F81" i="16"/>
  <c r="F80" i="16" s="1"/>
  <c r="E81" i="16"/>
  <c r="E80" i="16" s="1"/>
  <c r="D81" i="16"/>
  <c r="D80" i="16" s="1"/>
  <c r="C81" i="16"/>
  <c r="H80" i="16"/>
  <c r="G80" i="16"/>
  <c r="C80" i="16"/>
  <c r="I79" i="16"/>
  <c r="H79" i="16"/>
  <c r="G79" i="16"/>
  <c r="G77" i="16" s="1"/>
  <c r="F79" i="16"/>
  <c r="E79" i="16"/>
  <c r="D79" i="16"/>
  <c r="C79" i="16"/>
  <c r="I78" i="16"/>
  <c r="I77" i="16" s="1"/>
  <c r="H78" i="16"/>
  <c r="G78" i="16"/>
  <c r="F78" i="16"/>
  <c r="F77" i="16" s="1"/>
  <c r="E78" i="16"/>
  <c r="D78" i="16"/>
  <c r="C78" i="16"/>
  <c r="C77" i="16" s="1"/>
  <c r="H77" i="16"/>
  <c r="E77" i="16"/>
  <c r="D77" i="16"/>
  <c r="I76" i="16"/>
  <c r="H76" i="16"/>
  <c r="G76" i="16"/>
  <c r="F76" i="16"/>
  <c r="E76" i="16"/>
  <c r="D76" i="16"/>
  <c r="D74" i="16" s="1"/>
  <c r="C76" i="16"/>
  <c r="I75" i="16"/>
  <c r="H75" i="16"/>
  <c r="H74" i="16" s="1"/>
  <c r="G75" i="16"/>
  <c r="G74" i="16" s="1"/>
  <c r="F75" i="16"/>
  <c r="F74" i="16" s="1"/>
  <c r="E75" i="16"/>
  <c r="D75" i="16"/>
  <c r="C75" i="16"/>
  <c r="C74" i="16" s="1"/>
  <c r="I74" i="16"/>
  <c r="E74" i="16"/>
  <c r="I73" i="16"/>
  <c r="I71" i="16" s="1"/>
  <c r="H73" i="16"/>
  <c r="G73" i="16"/>
  <c r="F73" i="16"/>
  <c r="E73" i="16"/>
  <c r="D73" i="16"/>
  <c r="C73" i="16"/>
  <c r="I72" i="16"/>
  <c r="H72" i="16"/>
  <c r="H71" i="16" s="1"/>
  <c r="G72" i="16"/>
  <c r="F72" i="16"/>
  <c r="E72" i="16"/>
  <c r="E71" i="16" s="1"/>
  <c r="D72" i="16"/>
  <c r="D71" i="16" s="1"/>
  <c r="C72" i="16"/>
  <c r="C71" i="16" s="1"/>
  <c r="G71" i="16"/>
  <c r="F71" i="16"/>
  <c r="I70" i="16"/>
  <c r="H70" i="16"/>
  <c r="G70" i="16"/>
  <c r="F70" i="16"/>
  <c r="F68" i="16" s="1"/>
  <c r="E70" i="16"/>
  <c r="D70" i="16"/>
  <c r="C70" i="16"/>
  <c r="I69" i="16"/>
  <c r="I68" i="16" s="1"/>
  <c r="H69" i="16"/>
  <c r="H68" i="16" s="1"/>
  <c r="G69" i="16"/>
  <c r="F69" i="16"/>
  <c r="E69" i="16"/>
  <c r="E68" i="16" s="1"/>
  <c r="D69" i="16"/>
  <c r="C69" i="16"/>
  <c r="G68" i="16"/>
  <c r="D68" i="16"/>
  <c r="C68" i="16"/>
  <c r="I67" i="16"/>
  <c r="H67" i="16"/>
  <c r="G67" i="16"/>
  <c r="F67" i="16"/>
  <c r="E67" i="16"/>
  <c r="D67" i="16"/>
  <c r="C67" i="16"/>
  <c r="C65" i="16" s="1"/>
  <c r="I66" i="16"/>
  <c r="H66" i="16"/>
  <c r="G66" i="16"/>
  <c r="G65" i="16" s="1"/>
  <c r="F66" i="16"/>
  <c r="F65" i="16" s="1"/>
  <c r="E66" i="16"/>
  <c r="E65" i="16" s="1"/>
  <c r="D66" i="16"/>
  <c r="C66" i="16"/>
  <c r="I65" i="16"/>
  <c r="H65" i="16"/>
  <c r="D65" i="16"/>
  <c r="I64" i="16"/>
  <c r="H64" i="16"/>
  <c r="H62" i="16" s="1"/>
  <c r="G64" i="16"/>
  <c r="F64" i="16"/>
  <c r="E64" i="16"/>
  <c r="D64" i="16"/>
  <c r="C64" i="16"/>
  <c r="I63" i="16"/>
  <c r="H63" i="16"/>
  <c r="G63" i="16"/>
  <c r="G62" i="16" s="1"/>
  <c r="F63" i="16"/>
  <c r="E63" i="16"/>
  <c r="D63" i="16"/>
  <c r="D62" i="16" s="1"/>
  <c r="C63" i="16"/>
  <c r="C62" i="16" s="1"/>
  <c r="I62" i="16"/>
  <c r="F62" i="16"/>
  <c r="E62" i="16"/>
  <c r="I61" i="16"/>
  <c r="H61" i="16"/>
  <c r="G61" i="16"/>
  <c r="F61" i="16"/>
  <c r="E61" i="16"/>
  <c r="E59" i="16" s="1"/>
  <c r="D61" i="16"/>
  <c r="C61" i="16"/>
  <c r="I60" i="16"/>
  <c r="I59" i="16" s="1"/>
  <c r="H60" i="16"/>
  <c r="H59" i="16" s="1"/>
  <c r="G60" i="16"/>
  <c r="G59" i="16" s="1"/>
  <c r="F60" i="16"/>
  <c r="E60" i="16"/>
  <c r="D60" i="16"/>
  <c r="D59" i="16" s="1"/>
  <c r="C60" i="16"/>
  <c r="F59" i="16"/>
  <c r="C59" i="16"/>
  <c r="I58" i="16"/>
  <c r="H58" i="16"/>
  <c r="G58" i="16"/>
  <c r="F58" i="16"/>
  <c r="E58" i="16"/>
  <c r="D58" i="16"/>
  <c r="C58" i="16"/>
  <c r="I57" i="16"/>
  <c r="I56" i="16" s="1"/>
  <c r="H57" i="16"/>
  <c r="G57" i="16"/>
  <c r="F57" i="16"/>
  <c r="F56" i="16" s="1"/>
  <c r="E57" i="16"/>
  <c r="E56" i="16" s="1"/>
  <c r="D57" i="16"/>
  <c r="D56" i="16" s="1"/>
  <c r="C57" i="16"/>
  <c r="H56" i="16"/>
  <c r="G56" i="16"/>
  <c r="C56" i="16"/>
  <c r="I55" i="16"/>
  <c r="H55" i="16"/>
  <c r="G55" i="16"/>
  <c r="G53" i="16" s="1"/>
  <c r="F55" i="16"/>
  <c r="E55" i="16"/>
  <c r="D55" i="16"/>
  <c r="C55" i="16"/>
  <c r="I54" i="16"/>
  <c r="I53" i="16" s="1"/>
  <c r="H54" i="16"/>
  <c r="G54" i="16"/>
  <c r="F54" i="16"/>
  <c r="F53" i="16" s="1"/>
  <c r="E54" i="16"/>
  <c r="D54" i="16"/>
  <c r="C54" i="16"/>
  <c r="C53" i="16" s="1"/>
  <c r="H53" i="16"/>
  <c r="E53" i="16"/>
  <c r="D53" i="16"/>
  <c r="I52" i="16"/>
  <c r="H52" i="16"/>
  <c r="G52" i="16"/>
  <c r="F52" i="16"/>
  <c r="E52" i="16"/>
  <c r="D52" i="16"/>
  <c r="D50" i="16" s="1"/>
  <c r="C52" i="16"/>
  <c r="I51" i="16"/>
  <c r="H51" i="16"/>
  <c r="H50" i="16" s="1"/>
  <c r="G51" i="16"/>
  <c r="G50" i="16" s="1"/>
  <c r="F51" i="16"/>
  <c r="F50" i="16" s="1"/>
  <c r="E51" i="16"/>
  <c r="D51" i="16"/>
  <c r="C51" i="16"/>
  <c r="C50" i="16" s="1"/>
  <c r="I50" i="16"/>
  <c r="E50" i="16"/>
  <c r="I49" i="16"/>
  <c r="I47" i="16" s="1"/>
  <c r="H49" i="16"/>
  <c r="G49" i="16"/>
  <c r="F49" i="16"/>
  <c r="E49" i="16"/>
  <c r="D49" i="16"/>
  <c r="C49" i="16"/>
  <c r="I48" i="16"/>
  <c r="H48" i="16"/>
  <c r="H47" i="16" s="1"/>
  <c r="G48" i="16"/>
  <c r="F48" i="16"/>
  <c r="E48" i="16"/>
  <c r="E47" i="16" s="1"/>
  <c r="D48" i="16"/>
  <c r="D47" i="16" s="1"/>
  <c r="C48" i="16"/>
  <c r="C47" i="16" s="1"/>
  <c r="G47" i="16"/>
  <c r="F47" i="16"/>
  <c r="I46" i="16"/>
  <c r="H46" i="16"/>
  <c r="G46" i="16"/>
  <c r="F46" i="16"/>
  <c r="F44" i="16" s="1"/>
  <c r="E46" i="16"/>
  <c r="D46" i="16"/>
  <c r="C46" i="16"/>
  <c r="I45" i="16"/>
  <c r="I44" i="16" s="1"/>
  <c r="H45" i="16"/>
  <c r="H44" i="16" s="1"/>
  <c r="G45" i="16"/>
  <c r="F45" i="16"/>
  <c r="E45" i="16"/>
  <c r="E44" i="16" s="1"/>
  <c r="D45" i="16"/>
  <c r="C45" i="16"/>
  <c r="G44" i="16"/>
  <c r="D44" i="16"/>
  <c r="C44" i="16"/>
  <c r="I43" i="16"/>
  <c r="H43" i="16"/>
  <c r="G43" i="16"/>
  <c r="F43" i="16"/>
  <c r="E43" i="16"/>
  <c r="D43" i="16"/>
  <c r="C43" i="16"/>
  <c r="C41" i="16" s="1"/>
  <c r="I42" i="16"/>
  <c r="H42" i="16"/>
  <c r="G42" i="16"/>
  <c r="G41" i="16" s="1"/>
  <c r="F42" i="16"/>
  <c r="F41" i="16" s="1"/>
  <c r="E42" i="16"/>
  <c r="E41" i="16" s="1"/>
  <c r="D42" i="16"/>
  <c r="C42" i="16"/>
  <c r="I41" i="16"/>
  <c r="H41" i="16"/>
  <c r="D41" i="16"/>
  <c r="I40" i="16"/>
  <c r="H40" i="16"/>
  <c r="H38" i="16" s="1"/>
  <c r="G40" i="16"/>
  <c r="F40" i="16"/>
  <c r="E40" i="16"/>
  <c r="D40" i="16"/>
  <c r="C40" i="16"/>
  <c r="I39" i="16"/>
  <c r="H39" i="16"/>
  <c r="G39" i="16"/>
  <c r="G38" i="16" s="1"/>
  <c r="F39" i="16"/>
  <c r="E39" i="16"/>
  <c r="D39" i="16"/>
  <c r="D38" i="16" s="1"/>
  <c r="C39" i="16"/>
  <c r="C38" i="16" s="1"/>
  <c r="I38" i="16"/>
  <c r="F38" i="16"/>
  <c r="E38" i="16"/>
  <c r="I37" i="16"/>
  <c r="H37" i="16"/>
  <c r="G37" i="16"/>
  <c r="F37" i="16"/>
  <c r="E37" i="16"/>
  <c r="E35" i="16" s="1"/>
  <c r="D37" i="16"/>
  <c r="C37" i="16"/>
  <c r="I36" i="16"/>
  <c r="I35" i="16" s="1"/>
  <c r="H36" i="16"/>
  <c r="H35" i="16" s="1"/>
  <c r="G36" i="16"/>
  <c r="G35" i="16" s="1"/>
  <c r="F36" i="16"/>
  <c r="E36" i="16"/>
  <c r="D36" i="16"/>
  <c r="D35" i="16" s="1"/>
  <c r="C36" i="16"/>
  <c r="F35" i="16"/>
  <c r="C35" i="16"/>
  <c r="I34" i="16"/>
  <c r="H34" i="16"/>
  <c r="G34" i="16"/>
  <c r="F34" i="16"/>
  <c r="E34" i="16"/>
  <c r="D34" i="16"/>
  <c r="C34" i="16"/>
  <c r="I33" i="16"/>
  <c r="I32" i="16" s="1"/>
  <c r="H33" i="16"/>
  <c r="G33" i="16"/>
  <c r="F33" i="16"/>
  <c r="F32" i="16" s="1"/>
  <c r="E33" i="16"/>
  <c r="E32" i="16" s="1"/>
  <c r="D33" i="16"/>
  <c r="D32" i="16" s="1"/>
  <c r="C33" i="16"/>
  <c r="H32" i="16"/>
  <c r="G32" i="16"/>
  <c r="C32" i="16"/>
  <c r="I31" i="16"/>
  <c r="H31" i="16"/>
  <c r="G31" i="16"/>
  <c r="G29" i="16" s="1"/>
  <c r="F31" i="16"/>
  <c r="E31" i="16"/>
  <c r="D31" i="16"/>
  <c r="C31" i="16"/>
  <c r="I30" i="16"/>
  <c r="I29" i="16" s="1"/>
  <c r="H30" i="16"/>
  <c r="G30" i="16"/>
  <c r="F30" i="16"/>
  <c r="F29" i="16" s="1"/>
  <c r="E30" i="16"/>
  <c r="D30" i="16"/>
  <c r="C30" i="16"/>
  <c r="C29" i="16" s="1"/>
  <c r="H29" i="16"/>
  <c r="E29" i="16"/>
  <c r="D29" i="16"/>
  <c r="I28" i="16"/>
  <c r="H28" i="16"/>
  <c r="G28" i="16"/>
  <c r="F28" i="16"/>
  <c r="E28" i="16"/>
  <c r="D28" i="16"/>
  <c r="D26" i="16" s="1"/>
  <c r="C28" i="16"/>
  <c r="I27" i="16"/>
  <c r="H27" i="16"/>
  <c r="H26" i="16" s="1"/>
  <c r="G27" i="16"/>
  <c r="G26" i="16" s="1"/>
  <c r="F27" i="16"/>
  <c r="F26" i="16" s="1"/>
  <c r="E27" i="16"/>
  <c r="D27" i="16"/>
  <c r="C27" i="16"/>
  <c r="C26" i="16" s="1"/>
  <c r="I26" i="16"/>
  <c r="E26" i="16"/>
  <c r="I25" i="16"/>
  <c r="I23" i="16" s="1"/>
  <c r="H25" i="16"/>
  <c r="G25" i="16"/>
  <c r="F25" i="16"/>
  <c r="E25" i="16"/>
  <c r="D25" i="16"/>
  <c r="C25" i="16"/>
  <c r="I24" i="16"/>
  <c r="H24" i="16"/>
  <c r="H23" i="16" s="1"/>
  <c r="G24" i="16"/>
  <c r="F24" i="16"/>
  <c r="E24" i="16"/>
  <c r="E23" i="16" s="1"/>
  <c r="D24" i="16"/>
  <c r="D23" i="16" s="1"/>
  <c r="C24" i="16"/>
  <c r="C23" i="16" s="1"/>
  <c r="G23" i="16"/>
  <c r="F23" i="16"/>
  <c r="I22" i="16"/>
  <c r="H22" i="16"/>
  <c r="G22" i="16"/>
  <c r="F22" i="16"/>
  <c r="F20" i="16" s="1"/>
  <c r="E22" i="16"/>
  <c r="D22" i="16"/>
  <c r="C22" i="16"/>
  <c r="I21" i="16"/>
  <c r="I20" i="16" s="1"/>
  <c r="H21" i="16"/>
  <c r="H20" i="16" s="1"/>
  <c r="G21" i="16"/>
  <c r="F21" i="16"/>
  <c r="E21" i="16"/>
  <c r="E20" i="16" s="1"/>
  <c r="D21" i="16"/>
  <c r="C21" i="16"/>
  <c r="G20" i="16"/>
  <c r="D20" i="16"/>
  <c r="C20" i="16"/>
  <c r="I19" i="16"/>
  <c r="H19" i="16"/>
  <c r="G19" i="16"/>
  <c r="F19" i="16"/>
  <c r="E19" i="16"/>
  <c r="D19" i="16"/>
  <c r="C19" i="16"/>
  <c r="C17" i="16" s="1"/>
  <c r="I18" i="16"/>
  <c r="H18" i="16"/>
  <c r="G18" i="16"/>
  <c r="G17" i="16" s="1"/>
  <c r="F18" i="16"/>
  <c r="F17" i="16" s="1"/>
  <c r="E18" i="16"/>
  <c r="E17" i="16" s="1"/>
  <c r="D18" i="16"/>
  <c r="C18" i="16"/>
  <c r="I17" i="16"/>
  <c r="H17" i="16"/>
  <c r="D17" i="16"/>
  <c r="I16" i="16"/>
  <c r="H16" i="16"/>
  <c r="H14" i="16" s="1"/>
  <c r="G16" i="16"/>
  <c r="F16" i="16"/>
  <c r="E16" i="16"/>
  <c r="D16" i="16"/>
  <c r="C16" i="16"/>
  <c r="I15" i="16"/>
  <c r="H15" i="16"/>
  <c r="G15" i="16"/>
  <c r="G14" i="16" s="1"/>
  <c r="F15" i="16"/>
  <c r="E15" i="16"/>
  <c r="D15" i="16"/>
  <c r="D14" i="16" s="1"/>
  <c r="C15" i="16"/>
  <c r="C14" i="16" s="1"/>
  <c r="I14" i="16"/>
  <c r="F14" i="16"/>
  <c r="E14" i="16"/>
  <c r="A14" i="16"/>
  <c r="A17" i="16" s="1"/>
  <c r="I13" i="16"/>
  <c r="H13" i="16"/>
  <c r="C13" i="16" s="1"/>
  <c r="G13" i="16"/>
  <c r="F13" i="16"/>
  <c r="F11" i="16" s="1"/>
  <c r="E13" i="16"/>
  <c r="D13" i="16"/>
  <c r="I12" i="16"/>
  <c r="I11" i="16" s="1"/>
  <c r="H12" i="16"/>
  <c r="C12" i="16" s="1"/>
  <c r="C11" i="16" s="1"/>
  <c r="G12" i="16"/>
  <c r="F12" i="16"/>
  <c r="E12" i="16"/>
  <c r="D12" i="16"/>
  <c r="A12" i="16"/>
  <c r="A13" i="16" s="1"/>
  <c r="H11" i="16"/>
  <c r="G11" i="16"/>
  <c r="E11" i="16"/>
  <c r="D11" i="16"/>
  <c r="Z19" i="8" l="1"/>
  <c r="Z25" i="8"/>
  <c r="Z34" i="8"/>
  <c r="Z31" i="8"/>
  <c r="Z13" i="8"/>
  <c r="Z22" i="8"/>
  <c r="Z28" i="8"/>
  <c r="Z16" i="8"/>
  <c r="Z10" i="8"/>
  <c r="H134" i="16"/>
  <c r="T22" i="8"/>
  <c r="T10" i="8"/>
  <c r="T25" i="8"/>
  <c r="T34" i="8"/>
  <c r="T16" i="8"/>
  <c r="T28" i="8" s="1"/>
  <c r="T19" i="8"/>
  <c r="T13" i="8"/>
  <c r="T31" i="8"/>
  <c r="F140" i="16"/>
  <c r="F143" i="16"/>
  <c r="F146" i="16"/>
  <c r="F149" i="16" s="1"/>
  <c r="X28" i="8"/>
  <c r="X16" i="8"/>
  <c r="X10" i="8"/>
  <c r="X25" i="8"/>
  <c r="X13" i="8"/>
  <c r="X19" i="8"/>
  <c r="X22" i="8"/>
  <c r="X34" i="8"/>
  <c r="X33" i="8" s="1"/>
  <c r="X31" i="8"/>
  <c r="I137" i="16"/>
  <c r="W25" i="8"/>
  <c r="W13" i="8"/>
  <c r="W31" i="8"/>
  <c r="W10" i="8"/>
  <c r="W28" i="8" s="1"/>
  <c r="W22" i="8"/>
  <c r="W21" i="8" s="1"/>
  <c r="W16" i="8"/>
  <c r="W34" i="8"/>
  <c r="W33" i="8" s="1"/>
  <c r="W19" i="8"/>
  <c r="Y31" i="8"/>
  <c r="Y34" i="8"/>
  <c r="Y33" i="8" s="1"/>
  <c r="Y19" i="8"/>
  <c r="Y16" i="8"/>
  <c r="Y25" i="8"/>
  <c r="Y13" i="8"/>
  <c r="Y28" i="8" s="1"/>
  <c r="Y22" i="8"/>
  <c r="Y10" i="8"/>
  <c r="V25" i="8"/>
  <c r="V13" i="8"/>
  <c r="V22" i="8"/>
  <c r="V21" i="8" s="1"/>
  <c r="V10" i="8"/>
  <c r="V9" i="8" s="1"/>
  <c r="V34" i="8"/>
  <c r="V33" i="8" s="1"/>
  <c r="V19" i="8"/>
  <c r="V31" i="8"/>
  <c r="V16" i="8"/>
  <c r="D36" i="18"/>
  <c r="I980" i="16"/>
  <c r="U10" i="8"/>
  <c r="U28" i="8" s="1"/>
  <c r="U22" i="8"/>
  <c r="U21" i="8" s="1"/>
  <c r="U34" i="8"/>
  <c r="U13" i="8"/>
  <c r="U19" i="8"/>
  <c r="U25" i="8"/>
  <c r="U31" i="8"/>
  <c r="U16" i="8"/>
  <c r="G137" i="16"/>
  <c r="G149" i="16" s="1"/>
  <c r="C146" i="16"/>
  <c r="E68" i="8"/>
  <c r="H140" i="16"/>
  <c r="C143" i="16"/>
  <c r="C152" i="16" s="1"/>
  <c r="E143" i="16"/>
  <c r="G143" i="16"/>
  <c r="I143" i="16"/>
  <c r="I149" i="16" s="1"/>
  <c r="E76" i="8"/>
  <c r="AG45" i="18"/>
  <c r="AH43" i="18"/>
  <c r="X21" i="8"/>
  <c r="X9" i="8"/>
  <c r="U33" i="8"/>
  <c r="U9" i="8"/>
  <c r="W9" i="8"/>
  <c r="Y21" i="8"/>
  <c r="Y9" i="8"/>
  <c r="Z21" i="8"/>
  <c r="Z33" i="8"/>
  <c r="Z9" i="8"/>
  <c r="E74" i="8"/>
  <c r="D152" i="16"/>
  <c r="F152" i="16"/>
  <c r="H152" i="16"/>
  <c r="C153" i="16"/>
  <c r="E153" i="16"/>
  <c r="G153" i="16"/>
  <c r="I153" i="16"/>
  <c r="D154" i="16"/>
  <c r="F154" i="16"/>
  <c r="H154" i="16"/>
  <c r="C149" i="16"/>
  <c r="E149" i="16"/>
  <c r="D153" i="16"/>
  <c r="F153" i="16"/>
  <c r="H153" i="16"/>
  <c r="C154" i="16"/>
  <c r="E154" i="16"/>
  <c r="G154" i="16"/>
  <c r="I154" i="16"/>
  <c r="AI82" i="7"/>
  <c r="K82" i="7"/>
  <c r="S82" i="7"/>
  <c r="AA82" i="7"/>
  <c r="I82" i="7"/>
  <c r="M82" i="7"/>
  <c r="Q82" i="7"/>
  <c r="U82" i="7"/>
  <c r="Y82" i="7"/>
  <c r="AC82" i="7"/>
  <c r="AG82" i="7"/>
  <c r="AK82" i="7"/>
  <c r="E7" i="17"/>
  <c r="A20" i="16"/>
  <c r="A18" i="16"/>
  <c r="A19" i="16" s="1"/>
  <c r="D149" i="16"/>
  <c r="H149" i="16"/>
  <c r="E152" i="16"/>
  <c r="I152" i="16"/>
  <c r="A15" i="16"/>
  <c r="A16" i="16" s="1"/>
  <c r="C86" i="11"/>
  <c r="C85" i="11"/>
  <c r="C84" i="11"/>
  <c r="C83" i="11"/>
  <c r="C82" i="11"/>
  <c r="C81" i="11"/>
  <c r="C80" i="11"/>
  <c r="C78" i="11"/>
  <c r="C79" i="11"/>
  <c r="C77" i="11"/>
  <c r="C76" i="11"/>
  <c r="G152" i="16" l="1"/>
  <c r="V28" i="8"/>
  <c r="AK84" i="7"/>
  <c r="I159" i="16"/>
  <c r="J159" i="16"/>
  <c r="H159" i="16"/>
  <c r="D156" i="16"/>
  <c r="AI43" i="18"/>
  <c r="D43" i="18" s="1"/>
  <c r="AH45" i="18"/>
  <c r="D34" i="8"/>
  <c r="D33" i="8" s="1"/>
  <c r="T33" i="8"/>
  <c r="T21" i="8"/>
  <c r="D22" i="8"/>
  <c r="D21" i="8" s="1"/>
  <c r="T9" i="8"/>
  <c r="D10" i="8"/>
  <c r="D9" i="8" s="1"/>
  <c r="E51" i="8"/>
  <c r="C44" i="11"/>
  <c r="H75" i="7" s="1"/>
  <c r="E53" i="8"/>
  <c r="AC84" i="7"/>
  <c r="AH88" i="7"/>
  <c r="AD88" i="7"/>
  <c r="Z88" i="7"/>
  <c r="V88" i="7"/>
  <c r="R88" i="7"/>
  <c r="N88" i="7"/>
  <c r="J88" i="7"/>
  <c r="Q92" i="7"/>
  <c r="I92" i="7"/>
  <c r="AE92" i="7"/>
  <c r="W92" i="7"/>
  <c r="M92" i="7"/>
  <c r="AI92" i="7"/>
  <c r="AA92" i="7"/>
  <c r="S92" i="7"/>
  <c r="AE82" i="7"/>
  <c r="W82" i="7"/>
  <c r="O82" i="7"/>
  <c r="S84" i="7" s="1"/>
  <c r="G82" i="7"/>
  <c r="AJ88" i="7"/>
  <c r="AJ92" i="7"/>
  <c r="AH92" i="7"/>
  <c r="AF88" i="7"/>
  <c r="AF92" i="7"/>
  <c r="AD92" i="7"/>
  <c r="AB88" i="7"/>
  <c r="AB92" i="7"/>
  <c r="Z92" i="7"/>
  <c r="X88" i="7"/>
  <c r="X92" i="7"/>
  <c r="X95" i="7" s="1"/>
  <c r="V92" i="7"/>
  <c r="T88" i="7"/>
  <c r="T92" i="7"/>
  <c r="R92" i="7"/>
  <c r="P88" i="7"/>
  <c r="P92" i="7"/>
  <c r="N92" i="7"/>
  <c r="L88" i="7"/>
  <c r="L92" i="7"/>
  <c r="J92" i="7"/>
  <c r="H88" i="7"/>
  <c r="H92" i="7"/>
  <c r="AG88" i="7"/>
  <c r="AG92" i="7"/>
  <c r="Y88" i="7"/>
  <c r="Y92" i="7"/>
  <c r="Q88" i="7"/>
  <c r="I88" i="7"/>
  <c r="AE88" i="7"/>
  <c r="W88" i="7"/>
  <c r="O92" i="7"/>
  <c r="O88" i="7"/>
  <c r="G92" i="7"/>
  <c r="G88" i="7"/>
  <c r="AK88" i="7"/>
  <c r="AK92" i="7"/>
  <c r="AC88" i="7"/>
  <c r="AC92" i="7"/>
  <c r="AC95" i="7" s="1"/>
  <c r="U88" i="7"/>
  <c r="U92" i="7"/>
  <c r="M88" i="7"/>
  <c r="AI88" i="7"/>
  <c r="AA88" i="7"/>
  <c r="S88" i="7"/>
  <c r="S90" i="7" s="1"/>
  <c r="K92" i="7"/>
  <c r="K88" i="7"/>
  <c r="AJ82" i="7"/>
  <c r="AH82" i="7"/>
  <c r="AF82" i="7"/>
  <c r="AD82" i="7"/>
  <c r="AB82" i="7"/>
  <c r="Z82" i="7"/>
  <c r="X82" i="7"/>
  <c r="V82" i="7"/>
  <c r="T82" i="7"/>
  <c r="R82" i="7"/>
  <c r="P82" i="7"/>
  <c r="N82" i="7"/>
  <c r="N84" i="7" s="1"/>
  <c r="L82" i="7"/>
  <c r="J82" i="7"/>
  <c r="H82" i="7"/>
  <c r="C87" i="11"/>
  <c r="F7" i="17"/>
  <c r="E9" i="17"/>
  <c r="A23" i="16"/>
  <c r="A21" i="16"/>
  <c r="A22" i="16" s="1"/>
  <c r="E45" i="11"/>
  <c r="H84" i="7" l="1"/>
  <c r="AC90" i="7"/>
  <c r="G159" i="16"/>
  <c r="AI45" i="18"/>
  <c r="D45" i="18" s="1"/>
  <c r="E55" i="8"/>
  <c r="G55" i="18" s="1"/>
  <c r="U30" i="8"/>
  <c r="V30" i="8"/>
  <c r="W30" i="8"/>
  <c r="X30" i="8"/>
  <c r="J30" i="8"/>
  <c r="F32" i="8"/>
  <c r="D32" i="8" s="1"/>
  <c r="F14" i="8"/>
  <c r="Y30" i="8"/>
  <c r="Z30" i="8"/>
  <c r="T30" i="8"/>
  <c r="F31" i="8"/>
  <c r="D31" i="8" s="1"/>
  <c r="F8" i="8"/>
  <c r="D6" i="8"/>
  <c r="AK95" i="7"/>
  <c r="AK90" i="7"/>
  <c r="H94" i="7"/>
  <c r="H90" i="7"/>
  <c r="N95" i="7"/>
  <c r="X90" i="7"/>
  <c r="S95" i="7"/>
  <c r="N90" i="7"/>
  <c r="X84" i="7"/>
  <c r="F9" i="17"/>
  <c r="G7" i="17"/>
  <c r="G9" i="17" s="1"/>
  <c r="I9" i="17" s="1"/>
  <c r="I10" i="17" s="1"/>
  <c r="A26" i="16"/>
  <c r="A24" i="16"/>
  <c r="A25" i="16" s="1"/>
  <c r="G160" i="16" l="1"/>
  <c r="H162" i="16"/>
  <c r="C42" i="11"/>
  <c r="D44" i="11"/>
  <c r="D43" i="11"/>
  <c r="C43" i="11"/>
  <c r="D42" i="11"/>
  <c r="C73" i="8"/>
  <c r="C69" i="8"/>
  <c r="D73" i="8"/>
  <c r="D69" i="8"/>
  <c r="F30" i="8"/>
  <c r="K30" i="8"/>
  <c r="G30" i="8"/>
  <c r="S30" i="8"/>
  <c r="L30" i="8"/>
  <c r="M30" i="8"/>
  <c r="Q30" i="8"/>
  <c r="I30" i="8"/>
  <c r="P30" i="8"/>
  <c r="R30" i="8"/>
  <c r="N30" i="8"/>
  <c r="H30" i="8"/>
  <c r="O30" i="8"/>
  <c r="A29" i="16"/>
  <c r="A27" i="16"/>
  <c r="A28" i="16" s="1"/>
  <c r="J7" i="11" l="1"/>
  <c r="F7" i="11"/>
  <c r="K7" i="11"/>
  <c r="G7" i="11"/>
  <c r="L7" i="11"/>
  <c r="H7" i="11"/>
  <c r="H68" i="7"/>
  <c r="I7" i="11"/>
  <c r="P7" i="11"/>
  <c r="M7" i="11"/>
  <c r="O7" i="11"/>
  <c r="S7" i="11"/>
  <c r="N7" i="11"/>
  <c r="R7" i="11"/>
  <c r="H72" i="7"/>
  <c r="Q7" i="11"/>
  <c r="I6" i="11"/>
  <c r="H67" i="7"/>
  <c r="J6" i="11"/>
  <c r="F6" i="11"/>
  <c r="E42" i="11"/>
  <c r="K6" i="11"/>
  <c r="G6" i="11"/>
  <c r="L6" i="11"/>
  <c r="H6" i="11"/>
  <c r="H160" i="16"/>
  <c r="I160" i="16"/>
  <c r="J160" i="16"/>
  <c r="P6" i="11"/>
  <c r="H71" i="7"/>
  <c r="Q6" i="11"/>
  <c r="M6" i="11"/>
  <c r="E43" i="11"/>
  <c r="N6" i="11"/>
  <c r="R6" i="11"/>
  <c r="O6" i="11"/>
  <c r="S6" i="11"/>
  <c r="E44" i="11"/>
  <c r="V7" i="11"/>
  <c r="Z7" i="11"/>
  <c r="U7" i="11"/>
  <c r="Y7" i="11"/>
  <c r="X7" i="11"/>
  <c r="H76" i="7"/>
  <c r="H77" i="7" s="1"/>
  <c r="W7" i="11"/>
  <c r="T7" i="11"/>
  <c r="H164" i="16"/>
  <c r="H165" i="16" s="1"/>
  <c r="E73" i="8"/>
  <c r="E69" i="8"/>
  <c r="A32" i="16"/>
  <c r="A30" i="16"/>
  <c r="A31" i="16" s="1"/>
  <c r="H73" i="7" l="1"/>
  <c r="H69" i="7"/>
  <c r="W26" i="11"/>
  <c r="W24" i="11" s="1"/>
  <c r="W11" i="11"/>
  <c r="X11" i="11"/>
  <c r="X26" i="11"/>
  <c r="X24" i="11" s="1"/>
  <c r="U11" i="11"/>
  <c r="U26" i="11"/>
  <c r="V26" i="11"/>
  <c r="V11" i="11"/>
  <c r="S25" i="11"/>
  <c r="S10" i="11"/>
  <c r="R25" i="11"/>
  <c r="R10" i="11"/>
  <c r="Q10" i="11"/>
  <c r="Q25" i="11"/>
  <c r="P10" i="11"/>
  <c r="P25" i="11"/>
  <c r="H10" i="11"/>
  <c r="H25" i="11"/>
  <c r="G25" i="11"/>
  <c r="G10" i="11"/>
  <c r="J10" i="11"/>
  <c r="J25" i="11"/>
  <c r="I25" i="11"/>
  <c r="I10" i="11"/>
  <c r="N26" i="11"/>
  <c r="N11" i="11"/>
  <c r="O11" i="11"/>
  <c r="O26" i="11"/>
  <c r="P26" i="11"/>
  <c r="P11" i="11"/>
  <c r="L26" i="11"/>
  <c r="L11" i="11"/>
  <c r="K26" i="11"/>
  <c r="K11" i="11"/>
  <c r="J11" i="11"/>
  <c r="J26" i="11"/>
  <c r="J167" i="16"/>
  <c r="H167" i="16"/>
  <c r="I167" i="16"/>
  <c r="T11" i="11"/>
  <c r="T26" i="11"/>
  <c r="Y11" i="11"/>
  <c r="Y26" i="11"/>
  <c r="Y24" i="11" s="1"/>
  <c r="Z26" i="11"/>
  <c r="Z24" i="11" s="1"/>
  <c r="Z11" i="11"/>
  <c r="O25" i="11"/>
  <c r="O10" i="11"/>
  <c r="N25" i="11"/>
  <c r="N10" i="11"/>
  <c r="M10" i="11"/>
  <c r="M25" i="11"/>
  <c r="L10" i="11"/>
  <c r="L25" i="11"/>
  <c r="K25" i="11"/>
  <c r="K10" i="11"/>
  <c r="F25" i="11"/>
  <c r="F10" i="11"/>
  <c r="Q11" i="11"/>
  <c r="Q26" i="11"/>
  <c r="R26" i="11"/>
  <c r="R11" i="11"/>
  <c r="S11" i="11"/>
  <c r="S26" i="11"/>
  <c r="M11" i="11"/>
  <c r="M26" i="11"/>
  <c r="I11" i="11"/>
  <c r="I26" i="11"/>
  <c r="H26" i="11"/>
  <c r="H11" i="11"/>
  <c r="G26" i="11"/>
  <c r="G11" i="11"/>
  <c r="F11" i="11"/>
  <c r="F26" i="11"/>
  <c r="A35" i="16"/>
  <c r="A33" i="16"/>
  <c r="A34" i="16" s="1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E21" i="15"/>
  <c r="F21" i="15"/>
  <c r="G21" i="15"/>
  <c r="H21" i="15"/>
  <c r="I21" i="15"/>
  <c r="D21" i="15"/>
  <c r="I19" i="15"/>
  <c r="J19" i="15"/>
  <c r="K19" i="15"/>
  <c r="L19" i="15"/>
  <c r="M19" i="15"/>
  <c r="N19" i="15"/>
  <c r="O19" i="15"/>
  <c r="P19" i="15"/>
  <c r="Q19" i="15"/>
  <c r="D40" i="15" s="1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E19" i="15"/>
  <c r="F19" i="15"/>
  <c r="G19" i="15"/>
  <c r="H19" i="15"/>
  <c r="D19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D12" i="15"/>
  <c r="L10" i="15"/>
  <c r="M10" i="15"/>
  <c r="N10" i="15"/>
  <c r="O10" i="15"/>
  <c r="P10" i="15"/>
  <c r="C34" i="15" s="1"/>
  <c r="E34" i="15" s="1"/>
  <c r="Q10" i="15"/>
  <c r="C40" i="15" s="1"/>
  <c r="E40" i="15" s="1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AG10" i="15"/>
  <c r="AH10" i="15"/>
  <c r="I10" i="15"/>
  <c r="J10" i="15"/>
  <c r="K10" i="15"/>
  <c r="E10" i="15"/>
  <c r="F10" i="15"/>
  <c r="G10" i="15"/>
  <c r="H10" i="15"/>
  <c r="D10" i="15"/>
  <c r="D34" i="15"/>
  <c r="K18" i="15"/>
  <c r="J18" i="15"/>
  <c r="I18" i="15"/>
  <c r="H18" i="15"/>
  <c r="G18" i="15"/>
  <c r="F18" i="15"/>
  <c r="E18" i="15"/>
  <c r="D18" i="15"/>
  <c r="D17" i="15"/>
  <c r="C28" i="15"/>
  <c r="K9" i="15"/>
  <c r="J9" i="15"/>
  <c r="I9" i="15"/>
  <c r="H9" i="15"/>
  <c r="G9" i="15"/>
  <c r="F9" i="15"/>
  <c r="E9" i="15"/>
  <c r="D9" i="15"/>
  <c r="D8" i="15"/>
  <c r="E5" i="15"/>
  <c r="F5" i="15" s="1"/>
  <c r="G5" i="15" s="1"/>
  <c r="H5" i="15" s="1"/>
  <c r="I5" i="15" s="1"/>
  <c r="J5" i="15" s="1"/>
  <c r="K5" i="15" s="1"/>
  <c r="L5" i="15" s="1"/>
  <c r="M5" i="15" s="1"/>
  <c r="N5" i="15" s="1"/>
  <c r="O5" i="15" s="1"/>
  <c r="P5" i="15" s="1"/>
  <c r="Q5" i="15" s="1"/>
  <c r="R5" i="15" s="1"/>
  <c r="S5" i="15" s="1"/>
  <c r="T5" i="15" s="1"/>
  <c r="U5" i="15" s="1"/>
  <c r="V5" i="15" s="1"/>
  <c r="W5" i="15" s="1"/>
  <c r="X5" i="15" s="1"/>
  <c r="Y5" i="15" s="1"/>
  <c r="Z5" i="15" s="1"/>
  <c r="AA5" i="15" s="1"/>
  <c r="AB5" i="15" s="1"/>
  <c r="AC5" i="15" s="1"/>
  <c r="AD5" i="15" s="1"/>
  <c r="AE5" i="15" s="1"/>
  <c r="AF5" i="15" s="1"/>
  <c r="AG5" i="15" s="1"/>
  <c r="AH5" i="15" s="1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D21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D19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E12" i="14"/>
  <c r="F12" i="14"/>
  <c r="G12" i="14"/>
  <c r="H12" i="14"/>
  <c r="D12" i="14"/>
  <c r="E10" i="14"/>
  <c r="F10" i="14"/>
  <c r="G10" i="14"/>
  <c r="H10" i="14"/>
  <c r="I10" i="14"/>
  <c r="J10" i="14"/>
  <c r="K10" i="14"/>
  <c r="L10" i="14"/>
  <c r="C34" i="14" s="1"/>
  <c r="M10" i="14"/>
  <c r="N10" i="14"/>
  <c r="O10" i="14"/>
  <c r="P10" i="14"/>
  <c r="Q10" i="14"/>
  <c r="R10" i="14"/>
  <c r="S10" i="14"/>
  <c r="T10" i="14"/>
  <c r="U10" i="14"/>
  <c r="C40" i="14" s="1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D10" i="14"/>
  <c r="C28" i="14" s="1"/>
  <c r="D34" i="14"/>
  <c r="K18" i="14"/>
  <c r="J18" i="14"/>
  <c r="I18" i="14"/>
  <c r="H18" i="14"/>
  <c r="G18" i="14"/>
  <c r="F18" i="14"/>
  <c r="E18" i="14"/>
  <c r="D18" i="14"/>
  <c r="D17" i="14"/>
  <c r="K9" i="14"/>
  <c r="J9" i="14"/>
  <c r="I9" i="14"/>
  <c r="H9" i="14"/>
  <c r="G9" i="14"/>
  <c r="F9" i="14"/>
  <c r="E9" i="14"/>
  <c r="D9" i="14"/>
  <c r="D8" i="14"/>
  <c r="E5" i="14"/>
  <c r="F5" i="14" s="1"/>
  <c r="G5" i="14" s="1"/>
  <c r="H5" i="14" s="1"/>
  <c r="I5" i="14" s="1"/>
  <c r="J5" i="14" s="1"/>
  <c r="K5" i="14" s="1"/>
  <c r="L5" i="14" s="1"/>
  <c r="M5" i="14" s="1"/>
  <c r="N5" i="14" s="1"/>
  <c r="O5" i="14" s="1"/>
  <c r="P5" i="14" s="1"/>
  <c r="Q5" i="14" s="1"/>
  <c r="R5" i="14" s="1"/>
  <c r="S5" i="14" s="1"/>
  <c r="T5" i="14" s="1"/>
  <c r="U5" i="14" s="1"/>
  <c r="V5" i="14" s="1"/>
  <c r="W5" i="14" s="1"/>
  <c r="X5" i="14" s="1"/>
  <c r="Y5" i="14" s="1"/>
  <c r="Z5" i="14" s="1"/>
  <c r="AA5" i="14" s="1"/>
  <c r="AB5" i="14" s="1"/>
  <c r="AC5" i="14" s="1"/>
  <c r="AD5" i="14" s="1"/>
  <c r="AE5" i="14" s="1"/>
  <c r="AF5" i="14" s="1"/>
  <c r="AG5" i="14" s="1"/>
  <c r="AH5" i="14" s="1"/>
  <c r="D40" i="14" l="1"/>
  <c r="D47" i="14"/>
  <c r="O24" i="11"/>
  <c r="L24" i="11"/>
  <c r="K24" i="11"/>
  <c r="C59" i="11"/>
  <c r="N24" i="11"/>
  <c r="D63" i="11"/>
  <c r="D26" i="11"/>
  <c r="M24" i="11"/>
  <c r="I24" i="11"/>
  <c r="G24" i="11"/>
  <c r="R24" i="11"/>
  <c r="S24" i="11"/>
  <c r="C63" i="11"/>
  <c r="F24" i="11"/>
  <c r="J24" i="11"/>
  <c r="H24" i="11"/>
  <c r="P24" i="11"/>
  <c r="Q24" i="11"/>
  <c r="D27" i="15"/>
  <c r="D27" i="14"/>
  <c r="A38" i="16"/>
  <c r="A36" i="16"/>
  <c r="A37" i="16" s="1"/>
  <c r="D47" i="15"/>
  <c r="D54" i="15" s="1"/>
  <c r="D11" i="15"/>
  <c r="D20" i="15"/>
  <c r="C27" i="15"/>
  <c r="D28" i="15"/>
  <c r="E28" i="15" s="1"/>
  <c r="C47" i="15"/>
  <c r="E34" i="14"/>
  <c r="E40" i="14"/>
  <c r="D11" i="14"/>
  <c r="D20" i="14"/>
  <c r="C27" i="14"/>
  <c r="D28" i="14"/>
  <c r="E28" i="14" s="1"/>
  <c r="C47" i="14"/>
  <c r="F64" i="4"/>
  <c r="G39" i="7" l="1"/>
  <c r="G64" i="7"/>
  <c r="D54" i="14"/>
  <c r="E27" i="15"/>
  <c r="E27" i="14"/>
  <c r="A41" i="16"/>
  <c r="A39" i="16"/>
  <c r="A40" i="16" s="1"/>
  <c r="C54" i="15"/>
  <c r="E47" i="15"/>
  <c r="E54" i="15" s="1"/>
  <c r="D22" i="15"/>
  <c r="D13" i="15"/>
  <c r="C54" i="14"/>
  <c r="E47" i="14"/>
  <c r="E54" i="14" s="1"/>
  <c r="D22" i="14"/>
  <c r="D13" i="14"/>
  <c r="J24" i="9"/>
  <c r="H24" i="9"/>
  <c r="H23" i="9"/>
  <c r="E24" i="9"/>
  <c r="D24" i="9"/>
  <c r="D23" i="9"/>
  <c r="J237" i="9"/>
  <c r="J236" i="9"/>
  <c r="H237" i="9"/>
  <c r="H236" i="9"/>
  <c r="E237" i="9"/>
  <c r="E236" i="9"/>
  <c r="D237" i="9"/>
  <c r="D236" i="9"/>
  <c r="J225" i="9"/>
  <c r="J224" i="9"/>
  <c r="H225" i="9"/>
  <c r="H224" i="9"/>
  <c r="E225" i="9"/>
  <c r="E224" i="9"/>
  <c r="D225" i="9"/>
  <c r="D224" i="9"/>
  <c r="J213" i="9"/>
  <c r="J212" i="9"/>
  <c r="H213" i="9"/>
  <c r="H212" i="9"/>
  <c r="F212" i="9"/>
  <c r="E213" i="9"/>
  <c r="E212" i="9"/>
  <c r="D213" i="9"/>
  <c r="D212" i="9"/>
  <c r="J204" i="9"/>
  <c r="J203" i="9"/>
  <c r="H204" i="9"/>
  <c r="H203" i="9"/>
  <c r="E204" i="9"/>
  <c r="E203" i="9"/>
  <c r="D204" i="9"/>
  <c r="D203" i="9"/>
  <c r="J186" i="9"/>
  <c r="J185" i="9"/>
  <c r="H186" i="9"/>
  <c r="H185" i="9"/>
  <c r="E186" i="9"/>
  <c r="E185" i="9"/>
  <c r="D186" i="9"/>
  <c r="D185" i="9"/>
  <c r="J165" i="9"/>
  <c r="J164" i="9"/>
  <c r="H165" i="9"/>
  <c r="H164" i="9"/>
  <c r="E165" i="9"/>
  <c r="E164" i="9"/>
  <c r="D165" i="9"/>
  <c r="D164" i="9"/>
  <c r="J162" i="9"/>
  <c r="J161" i="9"/>
  <c r="H162" i="9"/>
  <c r="H161" i="9"/>
  <c r="F161" i="9"/>
  <c r="D162" i="9"/>
  <c r="D161" i="9"/>
  <c r="J159" i="9"/>
  <c r="J158" i="9"/>
  <c r="H159" i="9"/>
  <c r="H158" i="9"/>
  <c r="D159" i="9"/>
  <c r="D158" i="9"/>
  <c r="J156" i="9"/>
  <c r="H156" i="9"/>
  <c r="H155" i="9"/>
  <c r="E156" i="9"/>
  <c r="D156" i="9"/>
  <c r="D155" i="9"/>
  <c r="J129" i="9"/>
  <c r="J128" i="9"/>
  <c r="H129" i="9"/>
  <c r="H128" i="9"/>
  <c r="D129" i="9"/>
  <c r="D128" i="9"/>
  <c r="J117" i="9"/>
  <c r="H117" i="9"/>
  <c r="H116" i="9"/>
  <c r="D117" i="9"/>
  <c r="D116" i="9"/>
  <c r="J111" i="9"/>
  <c r="J110" i="9"/>
  <c r="H111" i="9"/>
  <c r="H110" i="9"/>
  <c r="D111" i="9"/>
  <c r="D110" i="9"/>
  <c r="J87" i="9"/>
  <c r="J86" i="9"/>
  <c r="H87" i="9"/>
  <c r="H86" i="9"/>
  <c r="F87" i="9"/>
  <c r="F86" i="9"/>
  <c r="D87" i="9"/>
  <c r="D86" i="9"/>
  <c r="J75" i="9"/>
  <c r="J74" i="9"/>
  <c r="H75" i="9"/>
  <c r="H74" i="9"/>
  <c r="E75" i="9"/>
  <c r="D75" i="9"/>
  <c r="D74" i="9"/>
  <c r="J57" i="9"/>
  <c r="J56" i="9"/>
  <c r="H57" i="9"/>
  <c r="H56" i="9"/>
  <c r="E57" i="9"/>
  <c r="E56" i="9"/>
  <c r="D57" i="9"/>
  <c r="D56" i="9"/>
  <c r="J42" i="9"/>
  <c r="H42" i="9"/>
  <c r="H41" i="9"/>
  <c r="E42" i="9"/>
  <c r="D42" i="9"/>
  <c r="D41" i="9"/>
  <c r="J21" i="9"/>
  <c r="J20" i="9"/>
  <c r="H21" i="9"/>
  <c r="H20" i="9"/>
  <c r="D21" i="9"/>
  <c r="D20" i="9"/>
  <c r="H9" i="9"/>
  <c r="H8" i="9"/>
  <c r="D9" i="9"/>
  <c r="D8" i="9"/>
  <c r="J9" i="9"/>
  <c r="J192" i="9"/>
  <c r="E192" i="9"/>
  <c r="F191" i="9"/>
  <c r="D191" i="9"/>
  <c r="E246" i="9"/>
  <c r="H245" i="9"/>
  <c r="F245" i="9"/>
  <c r="D245" i="9"/>
  <c r="J279" i="9"/>
  <c r="H279" i="9"/>
  <c r="E279" i="9"/>
  <c r="D279" i="9"/>
  <c r="D278" i="9"/>
  <c r="A44" i="16" l="1"/>
  <c r="A42" i="16"/>
  <c r="A43" i="16" s="1"/>
  <c r="H44" i="11"/>
  <c r="H42" i="11"/>
  <c r="I42" i="11"/>
  <c r="I44" i="11"/>
  <c r="H43" i="11"/>
  <c r="I43" i="11"/>
  <c r="AJ16" i="13"/>
  <c r="AJ15" i="13"/>
  <c r="AJ14" i="13"/>
  <c r="J43" i="11" l="1"/>
  <c r="J42" i="11"/>
  <c r="A47" i="16"/>
  <c r="A45" i="16"/>
  <c r="A46" i="16" s="1"/>
  <c r="J44" i="11"/>
  <c r="A50" i="16" l="1"/>
  <c r="A48" i="16"/>
  <c r="A49" i="16" s="1"/>
  <c r="AN38" i="13"/>
  <c r="AN13" i="13"/>
  <c r="E10" i="13"/>
  <c r="F10" i="13" s="1"/>
  <c r="G10" i="13" s="1"/>
  <c r="H10" i="13" s="1"/>
  <c r="I10" i="13" s="1"/>
  <c r="J10" i="13" s="1"/>
  <c r="K10" i="13" s="1"/>
  <c r="L10" i="13" s="1"/>
  <c r="M10" i="13" s="1"/>
  <c r="N10" i="13" s="1"/>
  <c r="O10" i="13" s="1"/>
  <c r="P10" i="13" s="1"/>
  <c r="Q10" i="13" s="1"/>
  <c r="R10" i="13" s="1"/>
  <c r="S10" i="13" s="1"/>
  <c r="T10" i="13" s="1"/>
  <c r="U10" i="13" s="1"/>
  <c r="V10" i="13" s="1"/>
  <c r="W10" i="13" s="1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AH10" i="13" s="1"/>
  <c r="H9" i="13"/>
  <c r="H8" i="13"/>
  <c r="H16" i="13" s="1"/>
  <c r="H7" i="13"/>
  <c r="H2" i="13"/>
  <c r="I2" i="13" s="1"/>
  <c r="J2" i="13" s="1"/>
  <c r="K2" i="13" s="1"/>
  <c r="L2" i="13" s="1"/>
  <c r="M2" i="13" s="1"/>
  <c r="N2" i="13" s="1"/>
  <c r="O2" i="13" s="1"/>
  <c r="P2" i="13" s="1"/>
  <c r="Q2" i="13" s="1"/>
  <c r="R2" i="13" s="1"/>
  <c r="S2" i="13" s="1"/>
  <c r="T2" i="13" s="1"/>
  <c r="U2" i="13" s="1"/>
  <c r="V2" i="13" s="1"/>
  <c r="W2" i="13" s="1"/>
  <c r="X2" i="13" s="1"/>
  <c r="Y2" i="13" s="1"/>
  <c r="Z2" i="13" s="1"/>
  <c r="AA2" i="13" s="1"/>
  <c r="AB2" i="13" s="1"/>
  <c r="AC2" i="13" s="1"/>
  <c r="AD2" i="13" s="1"/>
  <c r="AE2" i="13" s="1"/>
  <c r="AF2" i="13" s="1"/>
  <c r="AG2" i="13" s="1"/>
  <c r="AH2" i="13" s="1"/>
  <c r="H1" i="13"/>
  <c r="I1" i="13" s="1"/>
  <c r="J1" i="13" l="1"/>
  <c r="K1" i="13" s="1"/>
  <c r="L1" i="13" s="1"/>
  <c r="M1" i="13" s="1"/>
  <c r="N1" i="13" s="1"/>
  <c r="O1" i="13" s="1"/>
  <c r="P1" i="13" s="1"/>
  <c r="Q1" i="13" s="1"/>
  <c r="R1" i="13" s="1"/>
  <c r="S1" i="13" s="1"/>
  <c r="T1" i="13" s="1"/>
  <c r="U1" i="13" s="1"/>
  <c r="V1" i="13" s="1"/>
  <c r="W1" i="13" s="1"/>
  <c r="X1" i="13" s="1"/>
  <c r="Y1" i="13" s="1"/>
  <c r="Z1" i="13" s="1"/>
  <c r="AA1" i="13" s="1"/>
  <c r="AB1" i="13" s="1"/>
  <c r="AC1" i="13" s="1"/>
  <c r="AD1" i="13" s="1"/>
  <c r="AE1" i="13" s="1"/>
  <c r="AF1" i="13" s="1"/>
  <c r="AG1" i="13" s="1"/>
  <c r="AH1" i="13" s="1"/>
  <c r="AI1" i="13" s="1"/>
  <c r="I9" i="13"/>
  <c r="J9" i="13" s="1"/>
  <c r="J25" i="13" s="1"/>
  <c r="H15" i="13"/>
  <c r="I7" i="13"/>
  <c r="J7" i="13" s="1"/>
  <c r="G26" i="13"/>
  <c r="G25" i="13"/>
  <c r="AL38" i="13"/>
  <c r="I8" i="13"/>
  <c r="J8" i="13" s="1"/>
  <c r="J21" i="13" s="1"/>
  <c r="J26" i="13" s="1"/>
  <c r="A53" i="16"/>
  <c r="A51" i="16"/>
  <c r="A52" i="16" s="1"/>
  <c r="G46" i="13"/>
  <c r="G51" i="13" s="1"/>
  <c r="G40" i="13"/>
  <c r="AJ40" i="13" s="1"/>
  <c r="AL13" i="13"/>
  <c r="J16" i="13"/>
  <c r="H19" i="13"/>
  <c r="H24" i="13" s="1"/>
  <c r="H21" i="13"/>
  <c r="H26" i="13" s="1"/>
  <c r="H25" i="13"/>
  <c r="I21" i="13"/>
  <c r="I26" i="13" s="1"/>
  <c r="I16" i="13"/>
  <c r="AH29" i="11"/>
  <c r="AI29" i="11"/>
  <c r="AH9" i="11"/>
  <c r="AI9" i="11"/>
  <c r="AH13" i="11"/>
  <c r="AI13" i="11"/>
  <c r="AH14" i="11"/>
  <c r="AI14" i="11"/>
  <c r="AH16" i="11"/>
  <c r="AH15" i="11" s="1"/>
  <c r="AI16" i="11"/>
  <c r="AI15" i="11" s="1"/>
  <c r="AH17" i="11"/>
  <c r="AI17" i="11"/>
  <c r="AH19" i="11"/>
  <c r="AI19" i="11"/>
  <c r="AH20" i="11"/>
  <c r="AI20" i="11"/>
  <c r="AH22" i="11"/>
  <c r="AH21" i="11" s="1"/>
  <c r="AI22" i="11"/>
  <c r="AI21" i="11" s="1"/>
  <c r="AH23" i="11"/>
  <c r="AI23" i="11"/>
  <c r="AH8" i="11"/>
  <c r="AI8" i="11"/>
  <c r="AH28" i="11" l="1"/>
  <c r="AH27" i="11" s="1"/>
  <c r="AI12" i="11"/>
  <c r="AI28" i="11"/>
  <c r="AI27" i="11" s="1"/>
  <c r="AH18" i="11"/>
  <c r="AH12" i="11"/>
  <c r="AI18" i="11"/>
  <c r="G23" i="13"/>
  <c r="G28" i="13" s="1"/>
  <c r="I25" i="13"/>
  <c r="J15" i="13"/>
  <c r="J13" i="13" s="1"/>
  <c r="K9" i="13"/>
  <c r="K15" i="13" s="1"/>
  <c r="I46" i="13"/>
  <c r="I51" i="13" s="1"/>
  <c r="I15" i="13"/>
  <c r="I13" i="13" s="1"/>
  <c r="I19" i="13"/>
  <c r="I24" i="13" s="1"/>
  <c r="K7" i="13"/>
  <c r="K19" i="13" s="1"/>
  <c r="H46" i="13"/>
  <c r="H51" i="13" s="1"/>
  <c r="J19" i="13"/>
  <c r="J18" i="13" s="1"/>
  <c r="J46" i="13"/>
  <c r="J51" i="13" s="1"/>
  <c r="G41" i="13"/>
  <c r="H41" i="13" s="1"/>
  <c r="K8" i="13"/>
  <c r="K46" i="13" s="1"/>
  <c r="K51" i="13" s="1"/>
  <c r="A56" i="16"/>
  <c r="A54" i="16"/>
  <c r="A55" i="16" s="1"/>
  <c r="AJ39" i="13"/>
  <c r="J40" i="13"/>
  <c r="H40" i="13"/>
  <c r="K40" i="13"/>
  <c r="I40" i="13"/>
  <c r="L9" i="13"/>
  <c r="L40" i="13" s="1"/>
  <c r="H13" i="13"/>
  <c r="AK16" i="13" s="1"/>
  <c r="H18" i="13"/>
  <c r="AH8" i="8"/>
  <c r="AI8" i="8"/>
  <c r="AH12" i="8"/>
  <c r="AI12" i="8"/>
  <c r="AH15" i="8"/>
  <c r="AI15" i="8"/>
  <c r="AH18" i="8"/>
  <c r="AI18" i="8"/>
  <c r="AH24" i="8"/>
  <c r="AI24" i="8"/>
  <c r="AH27" i="8"/>
  <c r="AI27" i="8"/>
  <c r="AH30" i="8"/>
  <c r="AI30" i="8"/>
  <c r="AJ66" i="4"/>
  <c r="F31" i="11"/>
  <c r="G31" i="11" s="1"/>
  <c r="H31" i="11" s="1"/>
  <c r="I31" i="11" s="1"/>
  <c r="J31" i="11" s="1"/>
  <c r="K31" i="11" s="1"/>
  <c r="L31" i="11" s="1"/>
  <c r="M31" i="11" s="1"/>
  <c r="N31" i="11" s="1"/>
  <c r="O31" i="11" s="1"/>
  <c r="P31" i="11" s="1"/>
  <c r="Q31" i="11" s="1"/>
  <c r="R31" i="11" s="1"/>
  <c r="S31" i="11" s="1"/>
  <c r="T31" i="11" s="1"/>
  <c r="U31" i="11" s="1"/>
  <c r="V31" i="11" s="1"/>
  <c r="W31" i="11" s="1"/>
  <c r="X31" i="11" s="1"/>
  <c r="Y31" i="11" s="1"/>
  <c r="Z31" i="11" s="1"/>
  <c r="AA31" i="11" s="1"/>
  <c r="AB31" i="11" s="1"/>
  <c r="AC31" i="11" s="1"/>
  <c r="AD31" i="11" s="1"/>
  <c r="AE31" i="11" s="1"/>
  <c r="AF31" i="11" s="1"/>
  <c r="AG31" i="11" s="1"/>
  <c r="AG23" i="11"/>
  <c r="AF23" i="11"/>
  <c r="AE23" i="11"/>
  <c r="AD23" i="11"/>
  <c r="AC23" i="11"/>
  <c r="AB23" i="11"/>
  <c r="AA23" i="11"/>
  <c r="AA21" i="11" s="1"/>
  <c r="Z23" i="11"/>
  <c r="Z21" i="11" s="1"/>
  <c r="Y23" i="11"/>
  <c r="X23" i="11"/>
  <c r="W23" i="11"/>
  <c r="AG22" i="11"/>
  <c r="AF22" i="11"/>
  <c r="AE22" i="11"/>
  <c r="AE21" i="11" s="1"/>
  <c r="AD22" i="11"/>
  <c r="AD21" i="11" s="1"/>
  <c r="AC22" i="11"/>
  <c r="AC21" i="11" s="1"/>
  <c r="AB22" i="11"/>
  <c r="AA22" i="11"/>
  <c r="Z22" i="11"/>
  <c r="Y22" i="11"/>
  <c r="X22" i="11"/>
  <c r="W22" i="11"/>
  <c r="AG21" i="11"/>
  <c r="AF21" i="11"/>
  <c r="AB21" i="11"/>
  <c r="AG20" i="11"/>
  <c r="AF20" i="11"/>
  <c r="AF18" i="11" s="1"/>
  <c r="AE20" i="11"/>
  <c r="AD20" i="11"/>
  <c r="AC20" i="11"/>
  <c r="AB20" i="11"/>
  <c r="AA20" i="11"/>
  <c r="Z20" i="11"/>
  <c r="Y20" i="11"/>
  <c r="Y18" i="11" s="1"/>
  <c r="X20" i="11"/>
  <c r="X18" i="11" s="1"/>
  <c r="W20" i="11"/>
  <c r="W18" i="11" s="1"/>
  <c r="AG19" i="11"/>
  <c r="AF19" i="11"/>
  <c r="AE19" i="11"/>
  <c r="AE18" i="11" s="1"/>
  <c r="AD19" i="11"/>
  <c r="AC19" i="11"/>
  <c r="AB19" i="11"/>
  <c r="AB18" i="11" s="1"/>
  <c r="AA19" i="11"/>
  <c r="AA18" i="11" s="1"/>
  <c r="Z19" i="11"/>
  <c r="Y19" i="11"/>
  <c r="X19" i="11"/>
  <c r="W19" i="11"/>
  <c r="AG18" i="11"/>
  <c r="AD18" i="11"/>
  <c r="AC18" i="11"/>
  <c r="AG17" i="11"/>
  <c r="AF17" i="11"/>
  <c r="AE17" i="11"/>
  <c r="AD17" i="11"/>
  <c r="AC17" i="11"/>
  <c r="AC15" i="11" s="1"/>
  <c r="AB17" i="11"/>
  <c r="AA17" i="11"/>
  <c r="Z17" i="11"/>
  <c r="Y17" i="11"/>
  <c r="Y15" i="11" s="1"/>
  <c r="X17" i="11"/>
  <c r="W17" i="11"/>
  <c r="AG16" i="11"/>
  <c r="AG15" i="11" s="1"/>
  <c r="AF16" i="11"/>
  <c r="AF15" i="11" s="1"/>
  <c r="AE16" i="11"/>
  <c r="AE15" i="11" s="1"/>
  <c r="AD16" i="11"/>
  <c r="AC16" i="11"/>
  <c r="AB16" i="11"/>
  <c r="AB15" i="11" s="1"/>
  <c r="AA16" i="11"/>
  <c r="Z16" i="11"/>
  <c r="Y16" i="11"/>
  <c r="X16" i="11"/>
  <c r="W16" i="11"/>
  <c r="AD15" i="11"/>
  <c r="AA15" i="11"/>
  <c r="X15" i="11"/>
  <c r="AG14" i="11"/>
  <c r="AF14" i="11"/>
  <c r="AE14" i="11"/>
  <c r="AD14" i="11"/>
  <c r="AD29" i="11" s="1"/>
  <c r="AC14" i="11"/>
  <c r="AB14" i="11"/>
  <c r="AA14" i="11"/>
  <c r="AA29" i="11" s="1"/>
  <c r="Z14" i="11"/>
  <c r="Z12" i="11" s="1"/>
  <c r="Y14" i="11"/>
  <c r="X14" i="11"/>
  <c r="W14" i="11"/>
  <c r="AG13" i="11"/>
  <c r="AG28" i="11" s="1"/>
  <c r="AF13" i="11"/>
  <c r="AE13" i="11"/>
  <c r="AD13" i="11"/>
  <c r="AD28" i="11" s="1"/>
  <c r="AD27" i="11" s="1"/>
  <c r="AC13" i="11"/>
  <c r="AC28" i="11" s="1"/>
  <c r="AB13" i="11"/>
  <c r="AA13" i="11"/>
  <c r="Z13" i="11"/>
  <c r="Y13" i="11"/>
  <c r="Y28" i="11" s="1"/>
  <c r="X13" i="11"/>
  <c r="W13" i="11"/>
  <c r="AG12" i="11"/>
  <c r="AF12" i="11"/>
  <c r="AB12" i="11"/>
  <c r="AG9" i="11"/>
  <c r="AF9" i="11"/>
  <c r="AE9" i="11"/>
  <c r="AD9" i="11"/>
  <c r="AC9" i="11"/>
  <c r="AB9" i="11"/>
  <c r="AA9" i="11"/>
  <c r="Z9" i="11"/>
  <c r="Y9" i="11"/>
  <c r="X9" i="11"/>
  <c r="W9" i="11"/>
  <c r="S9" i="11"/>
  <c r="Q9" i="11"/>
  <c r="P9" i="11"/>
  <c r="O9" i="11"/>
  <c r="N9" i="11"/>
  <c r="L9" i="11"/>
  <c r="K9" i="11"/>
  <c r="J9" i="11"/>
  <c r="I9" i="11"/>
  <c r="H9" i="11"/>
  <c r="G9" i="11"/>
  <c r="AG8" i="11"/>
  <c r="AF8" i="11"/>
  <c r="AE8" i="11"/>
  <c r="AD8" i="11"/>
  <c r="AC8" i="11"/>
  <c r="AB8" i="11"/>
  <c r="AA8" i="11"/>
  <c r="Z8" i="11"/>
  <c r="Y8" i="11"/>
  <c r="X8" i="11"/>
  <c r="W8" i="11"/>
  <c r="F3" i="11"/>
  <c r="G3" i="11" s="1"/>
  <c r="H3" i="11" s="1"/>
  <c r="I3" i="11" s="1"/>
  <c r="J3" i="11" s="1"/>
  <c r="K3" i="11" s="1"/>
  <c r="L3" i="11" s="1"/>
  <c r="M3" i="11" s="1"/>
  <c r="N3" i="11" s="1"/>
  <c r="O3" i="11" s="1"/>
  <c r="P3" i="11" s="1"/>
  <c r="Q3" i="11" s="1"/>
  <c r="R3" i="11" s="1"/>
  <c r="S3" i="11" s="1"/>
  <c r="T3" i="11" s="1"/>
  <c r="U3" i="11" s="1"/>
  <c r="V3" i="11" s="1"/>
  <c r="W3" i="11" s="1"/>
  <c r="X3" i="11" s="1"/>
  <c r="Y3" i="11" s="1"/>
  <c r="Z3" i="11" s="1"/>
  <c r="AA3" i="11" s="1"/>
  <c r="AB3" i="11" s="1"/>
  <c r="AC3" i="11" s="1"/>
  <c r="AD3" i="11" s="1"/>
  <c r="AE3" i="11" s="1"/>
  <c r="AF3" i="11" s="1"/>
  <c r="AG3" i="11" s="1"/>
  <c r="AH3" i="11" s="1"/>
  <c r="AI3" i="11" s="1"/>
  <c r="G61" i="4"/>
  <c r="W28" i="11" l="1"/>
  <c r="AE28" i="11"/>
  <c r="AB29" i="11"/>
  <c r="J24" i="13"/>
  <c r="J23" i="13" s="1"/>
  <c r="AC27" i="11"/>
  <c r="AA12" i="11"/>
  <c r="X28" i="11"/>
  <c r="AF28" i="11"/>
  <c r="AF27" i="11" s="1"/>
  <c r="AC29" i="11"/>
  <c r="W15" i="11"/>
  <c r="Z18" i="11"/>
  <c r="L7" i="13"/>
  <c r="L39" i="13" s="1"/>
  <c r="AG27" i="11"/>
  <c r="Z28" i="11"/>
  <c r="AE29" i="11"/>
  <c r="W21" i="11"/>
  <c r="AC12" i="11"/>
  <c r="AD12" i="11"/>
  <c r="AA28" i="11"/>
  <c r="X12" i="11"/>
  <c r="AF29" i="11"/>
  <c r="Z15" i="11"/>
  <c r="X21" i="11"/>
  <c r="AE12" i="11"/>
  <c r="AB28" i="11"/>
  <c r="AB27" i="11" s="1"/>
  <c r="Y12" i="11"/>
  <c r="AG29" i="11"/>
  <c r="Y21" i="11"/>
  <c r="K25" i="13"/>
  <c r="I23" i="13"/>
  <c r="I18" i="13"/>
  <c r="J50" i="13"/>
  <c r="K50" i="13"/>
  <c r="G50" i="13"/>
  <c r="G48" i="13" s="1"/>
  <c r="I50" i="13"/>
  <c r="I48" i="13" s="1"/>
  <c r="J49" i="13"/>
  <c r="AJ41" i="13"/>
  <c r="G22" i="13"/>
  <c r="G12" i="13"/>
  <c r="E10" i="5"/>
  <c r="G34" i="13"/>
  <c r="G35" i="13" s="1"/>
  <c r="G31" i="13"/>
  <c r="AJ24" i="13"/>
  <c r="AJ26" i="13"/>
  <c r="AJ25" i="13"/>
  <c r="L45" i="13"/>
  <c r="L50" i="13" s="1"/>
  <c r="K16" i="13"/>
  <c r="K13" i="13" s="1"/>
  <c r="L8" i="13"/>
  <c r="L46" i="13" s="1"/>
  <c r="L51" i="13" s="1"/>
  <c r="K21" i="13"/>
  <c r="K26" i="13" s="1"/>
  <c r="AK14" i="13"/>
  <c r="J39" i="13"/>
  <c r="H39" i="13"/>
  <c r="H38" i="13" s="1"/>
  <c r="AK40" i="13" s="1"/>
  <c r="I39" i="13"/>
  <c r="K39" i="13"/>
  <c r="AH8" i="14"/>
  <c r="AG8" i="14"/>
  <c r="W29" i="11"/>
  <c r="W27" i="11" s="1"/>
  <c r="W12" i="11"/>
  <c r="Y29" i="11"/>
  <c r="Y27" i="11" s="1"/>
  <c r="X29" i="11"/>
  <c r="Z29" i="11"/>
  <c r="Z27" i="11" s="1"/>
  <c r="AK15" i="13"/>
  <c r="AA27" i="11"/>
  <c r="A59" i="16"/>
  <c r="A57" i="16"/>
  <c r="A58" i="16" s="1"/>
  <c r="AG17" i="15"/>
  <c r="AG17" i="14"/>
  <c r="AG17" i="5"/>
  <c r="AH17" i="14"/>
  <c r="AH17" i="15"/>
  <c r="AH17" i="5"/>
  <c r="I41" i="13"/>
  <c r="J41" i="13" s="1"/>
  <c r="K41" i="13" s="1"/>
  <c r="H23" i="13"/>
  <c r="AK24" i="13" s="1"/>
  <c r="I28" i="13"/>
  <c r="I31" i="13" s="1"/>
  <c r="L19" i="13"/>
  <c r="L14" i="13"/>
  <c r="M7" i="13"/>
  <c r="K24" i="13"/>
  <c r="H49" i="13"/>
  <c r="L44" i="13"/>
  <c r="L21" i="13"/>
  <c r="L26" i="13" s="1"/>
  <c r="L20" i="13"/>
  <c r="L25" i="13" s="1"/>
  <c r="L15" i="13"/>
  <c r="M9" i="13"/>
  <c r="K49" i="13"/>
  <c r="J28" i="13"/>
  <c r="I287" i="9"/>
  <c r="I288" i="9"/>
  <c r="J285" i="9"/>
  <c r="J284" i="9"/>
  <c r="H285" i="9"/>
  <c r="H284" i="9"/>
  <c r="F285" i="9"/>
  <c r="F284" i="9"/>
  <c r="E285" i="9"/>
  <c r="E284" i="9"/>
  <c r="C284" i="9" s="1"/>
  <c r="D285" i="9"/>
  <c r="D284" i="9"/>
  <c r="G283" i="9"/>
  <c r="I283" i="9"/>
  <c r="J282" i="9"/>
  <c r="J281" i="9"/>
  <c r="H282" i="9"/>
  <c r="H281" i="9"/>
  <c r="F282" i="9"/>
  <c r="F281" i="9"/>
  <c r="E282" i="9"/>
  <c r="E281" i="9"/>
  <c r="D282" i="9"/>
  <c r="D281" i="9"/>
  <c r="C281" i="9" s="1"/>
  <c r="G280" i="9"/>
  <c r="I280" i="9"/>
  <c r="J277" i="9"/>
  <c r="H278" i="9"/>
  <c r="F279" i="9"/>
  <c r="C279" i="9" s="1"/>
  <c r="F278" i="9"/>
  <c r="E278" i="9"/>
  <c r="G277" i="9"/>
  <c r="I277" i="9"/>
  <c r="J276" i="9"/>
  <c r="J275" i="9"/>
  <c r="H276" i="9"/>
  <c r="H275" i="9"/>
  <c r="F276" i="9"/>
  <c r="F275" i="9"/>
  <c r="E276" i="9"/>
  <c r="E275" i="9"/>
  <c r="C275" i="9" s="1"/>
  <c r="D276" i="9"/>
  <c r="D275" i="9"/>
  <c r="G274" i="9"/>
  <c r="I274" i="9"/>
  <c r="J273" i="9"/>
  <c r="J272" i="9"/>
  <c r="H273" i="9"/>
  <c r="H272" i="9"/>
  <c r="F273" i="9"/>
  <c r="F272" i="9"/>
  <c r="E273" i="9"/>
  <c r="E272" i="9"/>
  <c r="D273" i="9"/>
  <c r="C273" i="9" s="1"/>
  <c r="D272" i="9"/>
  <c r="C272" i="9" s="1"/>
  <c r="G271" i="9"/>
  <c r="I271" i="9"/>
  <c r="J270" i="9"/>
  <c r="J269" i="9"/>
  <c r="H270" i="9"/>
  <c r="H269" i="9"/>
  <c r="F270" i="9"/>
  <c r="F269" i="9"/>
  <c r="E270" i="9"/>
  <c r="E269" i="9"/>
  <c r="D270" i="9"/>
  <c r="D269" i="9"/>
  <c r="G268" i="9"/>
  <c r="I268" i="9"/>
  <c r="J267" i="9"/>
  <c r="J266" i="9"/>
  <c r="H267" i="9"/>
  <c r="H266" i="9"/>
  <c r="F267" i="9"/>
  <c r="F266" i="9"/>
  <c r="E267" i="9"/>
  <c r="E266" i="9"/>
  <c r="D267" i="9"/>
  <c r="C267" i="9" s="1"/>
  <c r="D266" i="9"/>
  <c r="G265" i="9"/>
  <c r="I265" i="9"/>
  <c r="J264" i="9"/>
  <c r="J263" i="9"/>
  <c r="H264" i="9"/>
  <c r="H263" i="9"/>
  <c r="E264" i="9"/>
  <c r="E263" i="9"/>
  <c r="D264" i="9"/>
  <c r="D263" i="9"/>
  <c r="F262" i="9"/>
  <c r="G262" i="9"/>
  <c r="I262" i="9"/>
  <c r="J261" i="9"/>
  <c r="J260" i="9"/>
  <c r="H261" i="9"/>
  <c r="H260" i="9"/>
  <c r="F261" i="9"/>
  <c r="F260" i="9"/>
  <c r="E261" i="9"/>
  <c r="E260" i="9"/>
  <c r="D261" i="9"/>
  <c r="C261" i="9" s="1"/>
  <c r="D260" i="9"/>
  <c r="C260" i="9" s="1"/>
  <c r="G259" i="9"/>
  <c r="I259" i="9"/>
  <c r="J258" i="9"/>
  <c r="J257" i="9"/>
  <c r="H258" i="9"/>
  <c r="H257" i="9"/>
  <c r="F258" i="9"/>
  <c r="F257" i="9"/>
  <c r="E258" i="9"/>
  <c r="E257" i="9"/>
  <c r="D258" i="9"/>
  <c r="D257" i="9"/>
  <c r="G256" i="9"/>
  <c r="I256" i="9"/>
  <c r="J255" i="9"/>
  <c r="J254" i="9"/>
  <c r="H255" i="9"/>
  <c r="H254" i="9"/>
  <c r="E255" i="9"/>
  <c r="E254" i="9"/>
  <c r="D255" i="9"/>
  <c r="D254" i="9"/>
  <c r="C254" i="9" s="1"/>
  <c r="F253" i="9"/>
  <c r="G253" i="9"/>
  <c r="I253" i="9"/>
  <c r="J252" i="9"/>
  <c r="J251" i="9"/>
  <c r="H252" i="9"/>
  <c r="H251" i="9"/>
  <c r="F252" i="9"/>
  <c r="F251" i="9"/>
  <c r="E252" i="9"/>
  <c r="E251" i="9"/>
  <c r="D252" i="9"/>
  <c r="D251" i="9"/>
  <c r="I250" i="9"/>
  <c r="G250" i="9"/>
  <c r="J249" i="9"/>
  <c r="J248" i="9"/>
  <c r="H249" i="9"/>
  <c r="H248" i="9"/>
  <c r="F249" i="9"/>
  <c r="F248" i="9"/>
  <c r="E249" i="9"/>
  <c r="E248" i="9"/>
  <c r="D249" i="9"/>
  <c r="D248" i="9"/>
  <c r="G247" i="9"/>
  <c r="I247" i="9"/>
  <c r="J246" i="9"/>
  <c r="J245" i="9"/>
  <c r="H246" i="9"/>
  <c r="F246" i="9"/>
  <c r="F244" i="9" s="1"/>
  <c r="E245" i="9"/>
  <c r="C245" i="9" s="1"/>
  <c r="D246" i="9"/>
  <c r="G244" i="9"/>
  <c r="I244" i="9"/>
  <c r="J243" i="9"/>
  <c r="J242" i="9"/>
  <c r="H243" i="9"/>
  <c r="H242" i="9"/>
  <c r="F243" i="9"/>
  <c r="F242" i="9"/>
  <c r="E243" i="9"/>
  <c r="E242" i="9"/>
  <c r="D243" i="9"/>
  <c r="D242" i="9"/>
  <c r="G241" i="9"/>
  <c r="I241" i="9"/>
  <c r="J240" i="9"/>
  <c r="J239" i="9"/>
  <c r="H240" i="9"/>
  <c r="H239" i="9"/>
  <c r="E240" i="9"/>
  <c r="E239" i="9"/>
  <c r="D240" i="9"/>
  <c r="C240" i="9" s="1"/>
  <c r="D239" i="9"/>
  <c r="F238" i="9"/>
  <c r="G238" i="9"/>
  <c r="F237" i="9"/>
  <c r="C237" i="9" s="1"/>
  <c r="F236" i="9"/>
  <c r="C236" i="9" s="1"/>
  <c r="G235" i="9"/>
  <c r="J234" i="9"/>
  <c r="J233" i="9"/>
  <c r="H234" i="9"/>
  <c r="H233" i="9"/>
  <c r="F234" i="9"/>
  <c r="F233" i="9"/>
  <c r="E234" i="9"/>
  <c r="E233" i="9"/>
  <c r="D234" i="9"/>
  <c r="D233" i="9"/>
  <c r="G232" i="9"/>
  <c r="J231" i="9"/>
  <c r="J230" i="9"/>
  <c r="H231" i="9"/>
  <c r="H230" i="9"/>
  <c r="F231" i="9"/>
  <c r="F230" i="9"/>
  <c r="E231" i="9"/>
  <c r="E230" i="9"/>
  <c r="D231" i="9"/>
  <c r="C231" i="9" s="1"/>
  <c r="D230" i="9"/>
  <c r="G229" i="9"/>
  <c r="J228" i="9"/>
  <c r="J227" i="9"/>
  <c r="H228" i="9"/>
  <c r="H227" i="9"/>
  <c r="F228" i="9"/>
  <c r="F227" i="9"/>
  <c r="E228" i="9"/>
  <c r="E227" i="9"/>
  <c r="C227" i="9" s="1"/>
  <c r="D228" i="9"/>
  <c r="D227" i="9"/>
  <c r="G226" i="9"/>
  <c r="C225" i="9"/>
  <c r="C224" i="9"/>
  <c r="D223" i="9"/>
  <c r="F223" i="9"/>
  <c r="G223" i="9"/>
  <c r="J222" i="9"/>
  <c r="J221" i="9"/>
  <c r="H222" i="9"/>
  <c r="H221" i="9"/>
  <c r="F222" i="9"/>
  <c r="F221" i="9"/>
  <c r="E222" i="9"/>
  <c r="E221" i="9"/>
  <c r="D222" i="9"/>
  <c r="D221" i="9"/>
  <c r="G220" i="9"/>
  <c r="J219" i="9"/>
  <c r="J218" i="9"/>
  <c r="H219" i="9"/>
  <c r="H218" i="9"/>
  <c r="F219" i="9"/>
  <c r="F218" i="9"/>
  <c r="E219" i="9"/>
  <c r="E218" i="9"/>
  <c r="D219" i="9"/>
  <c r="D218" i="9"/>
  <c r="G217" i="9"/>
  <c r="J216" i="9"/>
  <c r="J215" i="9"/>
  <c r="H216" i="9"/>
  <c r="H215" i="9"/>
  <c r="D216" i="9"/>
  <c r="C216" i="9" s="1"/>
  <c r="D215" i="9"/>
  <c r="C215" i="9" s="1"/>
  <c r="E214" i="9"/>
  <c r="F214" i="9"/>
  <c r="G214" i="9"/>
  <c r="F213" i="9"/>
  <c r="C213" i="9" s="1"/>
  <c r="C212" i="9"/>
  <c r="G211" i="9"/>
  <c r="J210" i="9"/>
  <c r="J209" i="9"/>
  <c r="H210" i="9"/>
  <c r="H209" i="9"/>
  <c r="F210" i="9"/>
  <c r="F209" i="9"/>
  <c r="E210" i="9"/>
  <c r="E209" i="9"/>
  <c r="D210" i="9"/>
  <c r="D209" i="9"/>
  <c r="C210" i="9"/>
  <c r="G208" i="9"/>
  <c r="J207" i="9"/>
  <c r="J206" i="9"/>
  <c r="H207" i="9"/>
  <c r="H206" i="9"/>
  <c r="F207" i="9"/>
  <c r="F206" i="9"/>
  <c r="E207" i="9"/>
  <c r="E206" i="9"/>
  <c r="D207" i="9"/>
  <c r="D206" i="9"/>
  <c r="G205" i="9"/>
  <c r="E202" i="9"/>
  <c r="C204" i="9"/>
  <c r="C203" i="9"/>
  <c r="D202" i="9"/>
  <c r="F202" i="9"/>
  <c r="G202" i="9"/>
  <c r="J201" i="9"/>
  <c r="J200" i="9"/>
  <c r="H201" i="9"/>
  <c r="H200" i="9"/>
  <c r="F201" i="9"/>
  <c r="F200" i="9"/>
  <c r="E201" i="9"/>
  <c r="E200" i="9"/>
  <c r="D201" i="9"/>
  <c r="D200" i="9"/>
  <c r="G199" i="9"/>
  <c r="J198" i="9"/>
  <c r="J197" i="9"/>
  <c r="H198" i="9"/>
  <c r="H197" i="9"/>
  <c r="E198" i="9"/>
  <c r="E197" i="9"/>
  <c r="D198" i="9"/>
  <c r="D197" i="9"/>
  <c r="C197" i="9" s="1"/>
  <c r="F196" i="9"/>
  <c r="G196" i="9"/>
  <c r="J195" i="9"/>
  <c r="J194" i="9"/>
  <c r="H195" i="9"/>
  <c r="H194" i="9"/>
  <c r="E195" i="9"/>
  <c r="E194" i="9"/>
  <c r="D195" i="9"/>
  <c r="D194" i="9"/>
  <c r="C195" i="9"/>
  <c r="F193" i="9"/>
  <c r="G193" i="9"/>
  <c r="J191" i="9"/>
  <c r="J190" i="9" s="1"/>
  <c r="H192" i="9"/>
  <c r="H191" i="9"/>
  <c r="F192" i="9"/>
  <c r="E191" i="9"/>
  <c r="C191" i="9" s="1"/>
  <c r="D192" i="9"/>
  <c r="C192" i="9" s="1"/>
  <c r="G190" i="9"/>
  <c r="J189" i="9"/>
  <c r="J188" i="9"/>
  <c r="H189" i="9"/>
  <c r="H188" i="9"/>
  <c r="F189" i="9"/>
  <c r="F188" i="9"/>
  <c r="E189" i="9"/>
  <c r="E188" i="9"/>
  <c r="D189" i="9"/>
  <c r="C189" i="9" s="1"/>
  <c r="D188" i="9"/>
  <c r="G187" i="9"/>
  <c r="C186" i="9"/>
  <c r="C185" i="9"/>
  <c r="F184" i="9"/>
  <c r="G184" i="9"/>
  <c r="J183" i="9"/>
  <c r="J182" i="9"/>
  <c r="H183" i="9"/>
  <c r="H182" i="9"/>
  <c r="F183" i="9"/>
  <c r="F182" i="9"/>
  <c r="E183" i="9"/>
  <c r="E182" i="9"/>
  <c r="D183" i="9"/>
  <c r="C183" i="9" s="1"/>
  <c r="D182" i="9"/>
  <c r="G181" i="9"/>
  <c r="J180" i="9"/>
  <c r="J179" i="9"/>
  <c r="H180" i="9"/>
  <c r="H179" i="9"/>
  <c r="E180" i="9"/>
  <c r="E179" i="9"/>
  <c r="D180" i="9"/>
  <c r="D179" i="9"/>
  <c r="F178" i="9"/>
  <c r="G178" i="9"/>
  <c r="J177" i="9"/>
  <c r="J176" i="9"/>
  <c r="H177" i="9"/>
  <c r="H176" i="9"/>
  <c r="E177" i="9"/>
  <c r="E176" i="9"/>
  <c r="D177" i="9"/>
  <c r="D176" i="9"/>
  <c r="F175" i="9"/>
  <c r="G175" i="9"/>
  <c r="J174" i="9"/>
  <c r="J173" i="9"/>
  <c r="H174" i="9"/>
  <c r="H173" i="9"/>
  <c r="F174" i="9"/>
  <c r="F173" i="9"/>
  <c r="D174" i="9"/>
  <c r="C174" i="9" s="1"/>
  <c r="D173" i="9"/>
  <c r="C173" i="9" s="1"/>
  <c r="E172" i="9"/>
  <c r="G172" i="9"/>
  <c r="J171" i="9"/>
  <c r="J170" i="9"/>
  <c r="H171" i="9"/>
  <c r="H170" i="9"/>
  <c r="E171" i="9"/>
  <c r="E170" i="9"/>
  <c r="D171" i="9"/>
  <c r="D170" i="9"/>
  <c r="F169" i="9"/>
  <c r="G169" i="9"/>
  <c r="J168" i="9"/>
  <c r="J167" i="9"/>
  <c r="H168" i="9"/>
  <c r="H167" i="9"/>
  <c r="F168" i="9"/>
  <c r="F167" i="9"/>
  <c r="D168" i="9"/>
  <c r="D167" i="9"/>
  <c r="C167" i="9" s="1"/>
  <c r="E166" i="9"/>
  <c r="G166" i="9"/>
  <c r="F165" i="9"/>
  <c r="C165" i="9" s="1"/>
  <c r="F164" i="9"/>
  <c r="G163" i="9"/>
  <c r="F162" i="9"/>
  <c r="C162" i="9" s="1"/>
  <c r="C161" i="9"/>
  <c r="E160" i="9"/>
  <c r="G160" i="9"/>
  <c r="F159" i="9"/>
  <c r="F158" i="9"/>
  <c r="E159" i="9"/>
  <c r="C159" i="9" s="1"/>
  <c r="E158" i="9"/>
  <c r="G157" i="9"/>
  <c r="J155" i="9"/>
  <c r="E155" i="9"/>
  <c r="C155" i="9" s="1"/>
  <c r="C156" i="9"/>
  <c r="F154" i="9"/>
  <c r="G154" i="9"/>
  <c r="J153" i="9"/>
  <c r="H153" i="9"/>
  <c r="H152" i="9"/>
  <c r="D153" i="9"/>
  <c r="C153" i="9" s="1"/>
  <c r="D152" i="9"/>
  <c r="C152" i="9" s="1"/>
  <c r="E151" i="9"/>
  <c r="F151" i="9"/>
  <c r="G151" i="9"/>
  <c r="J150" i="9"/>
  <c r="J149" i="9"/>
  <c r="H150" i="9"/>
  <c r="H149" i="9"/>
  <c r="G149" i="9"/>
  <c r="G148" i="9" s="1"/>
  <c r="F150" i="9"/>
  <c r="F149" i="9"/>
  <c r="E150" i="9"/>
  <c r="E149" i="9"/>
  <c r="D150" i="9"/>
  <c r="D149" i="9"/>
  <c r="J147" i="9"/>
  <c r="J146" i="9"/>
  <c r="H147" i="9"/>
  <c r="H146" i="9"/>
  <c r="F147" i="9"/>
  <c r="F146" i="9"/>
  <c r="E147" i="9"/>
  <c r="E146" i="9"/>
  <c r="D147" i="9"/>
  <c r="D146" i="9"/>
  <c r="G145" i="9"/>
  <c r="J144" i="9"/>
  <c r="J143" i="9"/>
  <c r="H144" i="9"/>
  <c r="H143" i="9"/>
  <c r="F144" i="9"/>
  <c r="F143" i="9"/>
  <c r="E144" i="9"/>
  <c r="E143" i="9"/>
  <c r="D144" i="9"/>
  <c r="D143" i="9"/>
  <c r="G142" i="9"/>
  <c r="J141" i="9"/>
  <c r="J140" i="9"/>
  <c r="H141" i="9"/>
  <c r="H140" i="9"/>
  <c r="F141" i="9"/>
  <c r="F140" i="9"/>
  <c r="D141" i="9"/>
  <c r="C141" i="9" s="1"/>
  <c r="D140" i="9"/>
  <c r="E139" i="9"/>
  <c r="G139" i="9"/>
  <c r="J138" i="9"/>
  <c r="H138" i="9"/>
  <c r="H137" i="9"/>
  <c r="E138" i="9"/>
  <c r="E137" i="9"/>
  <c r="D138" i="9"/>
  <c r="D137" i="9"/>
  <c r="F136" i="9"/>
  <c r="G136" i="9"/>
  <c r="J135" i="9"/>
  <c r="J134" i="9"/>
  <c r="H135" i="9"/>
  <c r="H134" i="9"/>
  <c r="F135" i="9"/>
  <c r="F134" i="9"/>
  <c r="D135" i="9"/>
  <c r="D134" i="9"/>
  <c r="C134" i="9" s="1"/>
  <c r="E133" i="9"/>
  <c r="G133" i="9"/>
  <c r="J132" i="9"/>
  <c r="J131" i="9"/>
  <c r="H132" i="9"/>
  <c r="H131" i="9"/>
  <c r="E132" i="9"/>
  <c r="E131" i="9"/>
  <c r="D132" i="9"/>
  <c r="C132" i="9" s="1"/>
  <c r="D131" i="9"/>
  <c r="F130" i="9"/>
  <c r="G130" i="9"/>
  <c r="E129" i="9"/>
  <c r="C129" i="9" s="1"/>
  <c r="E128" i="9"/>
  <c r="C128" i="9" s="1"/>
  <c r="F127" i="9"/>
  <c r="G127" i="9"/>
  <c r="J126" i="9"/>
  <c r="J125" i="9"/>
  <c r="H126" i="9"/>
  <c r="H125" i="9"/>
  <c r="E125" i="9"/>
  <c r="E126" i="9"/>
  <c r="D126" i="9"/>
  <c r="D125" i="9"/>
  <c r="F124" i="9"/>
  <c r="G124" i="9"/>
  <c r="J123" i="9"/>
  <c r="J122" i="9"/>
  <c r="H123" i="9"/>
  <c r="H122" i="9"/>
  <c r="E123" i="9"/>
  <c r="E122" i="9"/>
  <c r="D123" i="9"/>
  <c r="D122" i="9"/>
  <c r="F121" i="9"/>
  <c r="G121" i="9"/>
  <c r="J120" i="9"/>
  <c r="J119" i="9"/>
  <c r="H120" i="9"/>
  <c r="H119" i="9"/>
  <c r="E120" i="9"/>
  <c r="E119" i="9"/>
  <c r="D120" i="9"/>
  <c r="C120" i="9" s="1"/>
  <c r="D119" i="9"/>
  <c r="C119" i="9" s="1"/>
  <c r="F118" i="9"/>
  <c r="G118" i="9"/>
  <c r="C117" i="9"/>
  <c r="C116" i="9"/>
  <c r="E115" i="9"/>
  <c r="F115" i="9"/>
  <c r="G115" i="9"/>
  <c r="J114" i="9"/>
  <c r="J113" i="9"/>
  <c r="H114" i="9"/>
  <c r="H113" i="9"/>
  <c r="F114" i="9"/>
  <c r="F113" i="9"/>
  <c r="D114" i="9"/>
  <c r="D113" i="9"/>
  <c r="E112" i="9"/>
  <c r="G112" i="9"/>
  <c r="C111" i="9"/>
  <c r="C110" i="9"/>
  <c r="E109" i="9"/>
  <c r="F109" i="9"/>
  <c r="G109" i="9"/>
  <c r="J108" i="9"/>
  <c r="J107" i="9"/>
  <c r="H108" i="9"/>
  <c r="H107" i="9"/>
  <c r="D108" i="9"/>
  <c r="C108" i="9" s="1"/>
  <c r="D107" i="9"/>
  <c r="C107" i="9" s="1"/>
  <c r="E106" i="9"/>
  <c r="F106" i="9"/>
  <c r="G106" i="9"/>
  <c r="J105" i="9"/>
  <c r="J104" i="9"/>
  <c r="H105" i="9"/>
  <c r="H104" i="9"/>
  <c r="G103" i="9"/>
  <c r="F105" i="9"/>
  <c r="F104" i="9"/>
  <c r="E105" i="9"/>
  <c r="E104" i="9"/>
  <c r="D105" i="9"/>
  <c r="D104" i="9"/>
  <c r="J102" i="9"/>
  <c r="J101" i="9"/>
  <c r="H102" i="9"/>
  <c r="H101" i="9"/>
  <c r="F102" i="9"/>
  <c r="F101" i="9"/>
  <c r="E102" i="9"/>
  <c r="E101" i="9"/>
  <c r="D102" i="9"/>
  <c r="D101" i="9"/>
  <c r="G100" i="9"/>
  <c r="H99" i="9"/>
  <c r="H98" i="9"/>
  <c r="D99" i="9"/>
  <c r="C99" i="9" s="1"/>
  <c r="D98" i="9"/>
  <c r="C98" i="9" s="1"/>
  <c r="E97" i="9"/>
  <c r="F97" i="9"/>
  <c r="G97" i="9"/>
  <c r="J96" i="9"/>
  <c r="J95" i="9"/>
  <c r="H96" i="9"/>
  <c r="H95" i="9"/>
  <c r="E96" i="9"/>
  <c r="E95" i="9"/>
  <c r="D96" i="9"/>
  <c r="D95" i="9"/>
  <c r="F94" i="9"/>
  <c r="G94" i="9"/>
  <c r="J93" i="9"/>
  <c r="J92" i="9"/>
  <c r="H93" i="9"/>
  <c r="H92" i="9"/>
  <c r="F93" i="9"/>
  <c r="E93" i="9"/>
  <c r="E92" i="9"/>
  <c r="D93" i="9"/>
  <c r="D92" i="9"/>
  <c r="G91" i="9"/>
  <c r="J90" i="9"/>
  <c r="J89" i="9"/>
  <c r="H90" i="9"/>
  <c r="H89" i="9"/>
  <c r="F90" i="9"/>
  <c r="F89" i="9"/>
  <c r="E90" i="9"/>
  <c r="E89" i="9"/>
  <c r="D90" i="9"/>
  <c r="D89" i="9"/>
  <c r="G88" i="9"/>
  <c r="C87" i="9"/>
  <c r="C86" i="9"/>
  <c r="E85" i="9"/>
  <c r="G85" i="9"/>
  <c r="J84" i="9"/>
  <c r="J83" i="9"/>
  <c r="H84" i="9"/>
  <c r="H83" i="9"/>
  <c r="F84" i="9"/>
  <c r="F83" i="9"/>
  <c r="E84" i="9"/>
  <c r="D84" i="9"/>
  <c r="D83" i="9"/>
  <c r="G82" i="9"/>
  <c r="J81" i="9"/>
  <c r="J80" i="9"/>
  <c r="H81" i="9"/>
  <c r="H80" i="9"/>
  <c r="G81" i="9"/>
  <c r="G288" i="9" s="1"/>
  <c r="G80" i="9"/>
  <c r="G287" i="9" s="1"/>
  <c r="F81" i="9"/>
  <c r="F80" i="9"/>
  <c r="E81" i="9"/>
  <c r="E80" i="9"/>
  <c r="D81" i="9"/>
  <c r="D80" i="9"/>
  <c r="J78" i="9"/>
  <c r="H78" i="9"/>
  <c r="H77" i="9"/>
  <c r="E78" i="9"/>
  <c r="D78" i="9"/>
  <c r="D77" i="9"/>
  <c r="C77" i="9" s="1"/>
  <c r="F76" i="9"/>
  <c r="C74" i="9"/>
  <c r="F73" i="9"/>
  <c r="J72" i="9"/>
  <c r="H72" i="9"/>
  <c r="E72" i="9"/>
  <c r="D72" i="9"/>
  <c r="J71" i="9"/>
  <c r="H71" i="9"/>
  <c r="F71" i="9"/>
  <c r="F70" i="9" s="1"/>
  <c r="E71" i="9"/>
  <c r="D71" i="9"/>
  <c r="G70" i="9"/>
  <c r="C69" i="9"/>
  <c r="C68" i="9"/>
  <c r="D67" i="9"/>
  <c r="E67" i="9"/>
  <c r="F67" i="9"/>
  <c r="J66" i="9"/>
  <c r="J65" i="9"/>
  <c r="D66" i="9"/>
  <c r="C66" i="9" s="1"/>
  <c r="D65" i="9"/>
  <c r="C65" i="9" s="1"/>
  <c r="E64" i="9"/>
  <c r="F64" i="9"/>
  <c r="J63" i="9"/>
  <c r="J62" i="9"/>
  <c r="H63" i="9"/>
  <c r="H62" i="9"/>
  <c r="D63" i="9"/>
  <c r="C63" i="9" s="1"/>
  <c r="D62" i="9"/>
  <c r="C62" i="9" s="1"/>
  <c r="E61" i="9"/>
  <c r="F61" i="9"/>
  <c r="J60" i="9"/>
  <c r="J59" i="9"/>
  <c r="H60" i="9"/>
  <c r="H59" i="9"/>
  <c r="D60" i="9"/>
  <c r="C60" i="9" s="1"/>
  <c r="D59" i="9"/>
  <c r="C59" i="9" s="1"/>
  <c r="E58" i="9"/>
  <c r="F58" i="9"/>
  <c r="D55" i="9"/>
  <c r="E55" i="9"/>
  <c r="F55" i="9"/>
  <c r="J54" i="9"/>
  <c r="H54" i="9"/>
  <c r="F54" i="9"/>
  <c r="D54" i="9"/>
  <c r="J53" i="9"/>
  <c r="H53" i="9"/>
  <c r="F53" i="9"/>
  <c r="D53" i="9"/>
  <c r="D52" i="9" s="1"/>
  <c r="E52" i="9"/>
  <c r="J51" i="9"/>
  <c r="H51" i="9"/>
  <c r="F51" i="9"/>
  <c r="E51" i="9"/>
  <c r="D51" i="9"/>
  <c r="J50" i="9"/>
  <c r="H50" i="9"/>
  <c r="F50" i="9"/>
  <c r="E50" i="9"/>
  <c r="D50" i="9"/>
  <c r="J48" i="9"/>
  <c r="J47" i="9"/>
  <c r="H48" i="9"/>
  <c r="H47" i="9"/>
  <c r="F48" i="9"/>
  <c r="F47" i="9"/>
  <c r="D48" i="9"/>
  <c r="C48" i="9" s="1"/>
  <c r="D47" i="9"/>
  <c r="E46" i="9"/>
  <c r="J45" i="9"/>
  <c r="H45" i="9"/>
  <c r="E45" i="9"/>
  <c r="D45" i="9"/>
  <c r="J44" i="9"/>
  <c r="H44" i="9"/>
  <c r="E44" i="9"/>
  <c r="D44" i="9"/>
  <c r="F43" i="9"/>
  <c r="E40" i="9"/>
  <c r="C41" i="9"/>
  <c r="D40" i="9"/>
  <c r="F40" i="9"/>
  <c r="J39" i="9"/>
  <c r="J38" i="9"/>
  <c r="D39" i="9"/>
  <c r="C39" i="9" s="1"/>
  <c r="D38" i="9"/>
  <c r="C38" i="9" s="1"/>
  <c r="E37" i="9"/>
  <c r="F37" i="9"/>
  <c r="J36" i="9"/>
  <c r="J35" i="9"/>
  <c r="H36" i="9"/>
  <c r="H35" i="9"/>
  <c r="D36" i="9"/>
  <c r="D35" i="9"/>
  <c r="E34" i="9"/>
  <c r="F34" i="9"/>
  <c r="C36" i="9"/>
  <c r="F33" i="9"/>
  <c r="F32" i="9"/>
  <c r="J33" i="9"/>
  <c r="J32" i="9"/>
  <c r="H33" i="9"/>
  <c r="H32" i="9"/>
  <c r="D33" i="9"/>
  <c r="D32" i="9"/>
  <c r="C32" i="9" s="1"/>
  <c r="E31" i="9"/>
  <c r="H30" i="9"/>
  <c r="D30" i="9"/>
  <c r="C30" i="9" s="1"/>
  <c r="H29" i="9"/>
  <c r="D29" i="9"/>
  <c r="C29" i="9" s="1"/>
  <c r="E28" i="9"/>
  <c r="F28" i="9"/>
  <c r="J27" i="9"/>
  <c r="H27" i="9"/>
  <c r="J26" i="9"/>
  <c r="H26" i="9"/>
  <c r="D27" i="9"/>
  <c r="D26" i="9"/>
  <c r="C26" i="9" s="1"/>
  <c r="E25" i="9"/>
  <c r="F25" i="9"/>
  <c r="C27" i="9"/>
  <c r="E22" i="9"/>
  <c r="C23" i="9"/>
  <c r="F22" i="9"/>
  <c r="F16" i="9"/>
  <c r="E13" i="9"/>
  <c r="F13" i="9"/>
  <c r="E10" i="9"/>
  <c r="F10" i="9"/>
  <c r="E7" i="9"/>
  <c r="F7" i="9"/>
  <c r="G7" i="9"/>
  <c r="E19" i="9"/>
  <c r="F19" i="9"/>
  <c r="G19" i="9"/>
  <c r="C21" i="9"/>
  <c r="D19" i="9"/>
  <c r="D18" i="9"/>
  <c r="C18" i="9" s="1"/>
  <c r="J17" i="9"/>
  <c r="H17" i="9"/>
  <c r="E17" i="9"/>
  <c r="D17" i="9"/>
  <c r="D16" i="9" s="1"/>
  <c r="J15" i="9"/>
  <c r="D15" i="9"/>
  <c r="C15" i="9" s="1"/>
  <c r="J14" i="9"/>
  <c r="D14" i="9"/>
  <c r="H12" i="9"/>
  <c r="H11" i="9"/>
  <c r="D12" i="9"/>
  <c r="D11" i="9"/>
  <c r="C9" i="9"/>
  <c r="C131" i="9" l="1"/>
  <c r="C144" i="9"/>
  <c r="C239" i="9"/>
  <c r="C257" i="9"/>
  <c r="X27" i="11"/>
  <c r="D43" i="9"/>
  <c r="C125" i="9"/>
  <c r="C221" i="9"/>
  <c r="C220" i="9" s="1"/>
  <c r="C234" i="9"/>
  <c r="C258" i="9"/>
  <c r="C270" i="9"/>
  <c r="E43" i="9"/>
  <c r="C102" i="9"/>
  <c r="C135" i="9"/>
  <c r="C168" i="9"/>
  <c r="C198" i="9"/>
  <c r="C200" i="9"/>
  <c r="C252" i="9"/>
  <c r="D13" i="9"/>
  <c r="C47" i="9"/>
  <c r="C89" i="9"/>
  <c r="C104" i="9"/>
  <c r="C137" i="9"/>
  <c r="C149" i="9"/>
  <c r="C228" i="9"/>
  <c r="C285" i="9"/>
  <c r="AE27" i="11"/>
  <c r="C90" i="9"/>
  <c r="C138" i="9"/>
  <c r="C101" i="9"/>
  <c r="H259" i="9"/>
  <c r="J288" i="9"/>
  <c r="C158" i="9"/>
  <c r="C230" i="9"/>
  <c r="C248" i="9"/>
  <c r="AJ50" i="13"/>
  <c r="K48" i="13"/>
  <c r="K23" i="13"/>
  <c r="K28" i="13" s="1"/>
  <c r="J48" i="13"/>
  <c r="I43" i="13"/>
  <c r="AJ49" i="13"/>
  <c r="AJ51" i="13"/>
  <c r="G53" i="13"/>
  <c r="H50" i="13"/>
  <c r="H48" i="13" s="1"/>
  <c r="AK49" i="13" s="1"/>
  <c r="H43" i="13"/>
  <c r="K43" i="13"/>
  <c r="J43" i="13"/>
  <c r="C150" i="9"/>
  <c r="D287" i="9"/>
  <c r="H287" i="9"/>
  <c r="C6" i="18" s="1"/>
  <c r="C238" i="9"/>
  <c r="C249" i="9"/>
  <c r="C247" i="9" s="1"/>
  <c r="E274" i="9"/>
  <c r="C33" i="9"/>
  <c r="C92" i="9"/>
  <c r="C96" i="9"/>
  <c r="C147" i="9"/>
  <c r="C171" i="9"/>
  <c r="C177" i="9"/>
  <c r="C207" i="9"/>
  <c r="C219" i="9"/>
  <c r="C233" i="9"/>
  <c r="F232" i="9"/>
  <c r="C243" i="9"/>
  <c r="C241" i="9" s="1"/>
  <c r="C251" i="9"/>
  <c r="C250" i="9" s="1"/>
  <c r="C264" i="9"/>
  <c r="C276" i="9"/>
  <c r="H288" i="9"/>
  <c r="C7" i="18" s="1"/>
  <c r="F287" i="9"/>
  <c r="D178" i="9"/>
  <c r="C114" i="9"/>
  <c r="C140" i="9"/>
  <c r="C146" i="9"/>
  <c r="C170" i="9"/>
  <c r="C176" i="9"/>
  <c r="C182" i="9"/>
  <c r="C188" i="9"/>
  <c r="C206" i="9"/>
  <c r="C209" i="9"/>
  <c r="C218" i="9"/>
  <c r="C222" i="9"/>
  <c r="C242" i="9"/>
  <c r="C246" i="9"/>
  <c r="C255" i="9"/>
  <c r="C253" i="9" s="1"/>
  <c r="C263" i="9"/>
  <c r="C282" i="9"/>
  <c r="H283" i="9"/>
  <c r="L16" i="13"/>
  <c r="L13" i="13" s="1"/>
  <c r="M8" i="13"/>
  <c r="M16" i="13" s="1"/>
  <c r="K18" i="13"/>
  <c r="K38" i="13"/>
  <c r="L41" i="13"/>
  <c r="C95" i="9"/>
  <c r="D100" i="9"/>
  <c r="C113" i="9"/>
  <c r="C112" i="9" s="1"/>
  <c r="C123" i="9"/>
  <c r="C143" i="9"/>
  <c r="C180" i="9"/>
  <c r="C266" i="9"/>
  <c r="C265" i="9" s="1"/>
  <c r="C269" i="9"/>
  <c r="C278" i="9"/>
  <c r="C277" i="9" s="1"/>
  <c r="H280" i="9"/>
  <c r="C105" i="9"/>
  <c r="C122" i="9"/>
  <c r="C194" i="9"/>
  <c r="C201" i="9"/>
  <c r="H256" i="9"/>
  <c r="J259" i="9"/>
  <c r="E288" i="9"/>
  <c r="F288" i="9"/>
  <c r="E121" i="9"/>
  <c r="AG8" i="15"/>
  <c r="AH8" i="5"/>
  <c r="AG8" i="5"/>
  <c r="AI36" i="8"/>
  <c r="AH8" i="15"/>
  <c r="AH36" i="8"/>
  <c r="J12" i="13"/>
  <c r="H10" i="5"/>
  <c r="I12" i="13"/>
  <c r="G10" i="5"/>
  <c r="I38" i="13"/>
  <c r="I53" i="13" s="1"/>
  <c r="I34" i="13"/>
  <c r="I35" i="13" s="1"/>
  <c r="D262" i="9"/>
  <c r="E262" i="9"/>
  <c r="E244" i="9"/>
  <c r="D265" i="9"/>
  <c r="E265" i="9"/>
  <c r="C12" i="9"/>
  <c r="D288" i="9"/>
  <c r="E16" i="9"/>
  <c r="E287" i="9"/>
  <c r="A62" i="16"/>
  <c r="A60" i="16"/>
  <c r="A61" i="16" s="1"/>
  <c r="F265" i="9"/>
  <c r="F235" i="9"/>
  <c r="J253" i="9"/>
  <c r="J265" i="9"/>
  <c r="H268" i="9"/>
  <c r="D271" i="9"/>
  <c r="E271" i="9"/>
  <c r="J38" i="13"/>
  <c r="C235" i="9"/>
  <c r="AK39" i="13"/>
  <c r="AK41" i="13"/>
  <c r="I22" i="13"/>
  <c r="J22" i="13"/>
  <c r="H28" i="13"/>
  <c r="AK26" i="13"/>
  <c r="AK25" i="13"/>
  <c r="F271" i="9"/>
  <c r="D250" i="9"/>
  <c r="E250" i="9"/>
  <c r="F250" i="9"/>
  <c r="L43" i="13"/>
  <c r="L49" i="13"/>
  <c r="L48" i="13" s="1"/>
  <c r="M19" i="13"/>
  <c r="M14" i="13"/>
  <c r="N7" i="13"/>
  <c r="M44" i="13"/>
  <c r="M49" i="13" s="1"/>
  <c r="M39" i="13"/>
  <c r="L24" i="13"/>
  <c r="L23" i="13" s="1"/>
  <c r="L18" i="13"/>
  <c r="J34" i="13"/>
  <c r="J35" i="13" s="1"/>
  <c r="J31" i="13"/>
  <c r="M20" i="13"/>
  <c r="M25" i="13" s="1"/>
  <c r="M15" i="13"/>
  <c r="N9" i="13"/>
  <c r="M40" i="13"/>
  <c r="M45" i="13"/>
  <c r="M50" i="13" s="1"/>
  <c r="H244" i="9"/>
  <c r="E253" i="9"/>
  <c r="J256" i="9"/>
  <c r="J262" i="9"/>
  <c r="J271" i="9"/>
  <c r="F274" i="9"/>
  <c r="J274" i="9"/>
  <c r="H277" i="9"/>
  <c r="F280" i="9"/>
  <c r="J283" i="9"/>
  <c r="F283" i="9"/>
  <c r="C283" i="9"/>
  <c r="E283" i="9"/>
  <c r="D283" i="9"/>
  <c r="J280" i="9"/>
  <c r="E280" i="9"/>
  <c r="D280" i="9"/>
  <c r="C280" i="9"/>
  <c r="F277" i="9"/>
  <c r="E277" i="9"/>
  <c r="D277" i="9"/>
  <c r="H274" i="9"/>
  <c r="D274" i="9"/>
  <c r="C274" i="9"/>
  <c r="H271" i="9"/>
  <c r="C271" i="9"/>
  <c r="J268" i="9"/>
  <c r="F268" i="9"/>
  <c r="E268" i="9"/>
  <c r="D268" i="9"/>
  <c r="C268" i="9"/>
  <c r="H265" i="9"/>
  <c r="H262" i="9"/>
  <c r="C262" i="9"/>
  <c r="F259" i="9"/>
  <c r="E259" i="9"/>
  <c r="D259" i="9"/>
  <c r="C259" i="9"/>
  <c r="F256" i="9"/>
  <c r="E256" i="9"/>
  <c r="D256" i="9"/>
  <c r="C256" i="9"/>
  <c r="H253" i="9"/>
  <c r="D253" i="9"/>
  <c r="J250" i="9"/>
  <c r="H250" i="9"/>
  <c r="E187" i="9"/>
  <c r="D88" i="9"/>
  <c r="J103" i="9"/>
  <c r="E154" i="9"/>
  <c r="D247" i="9"/>
  <c r="H241" i="9"/>
  <c r="E100" i="9"/>
  <c r="D7" i="9"/>
  <c r="E88" i="9"/>
  <c r="F88" i="9"/>
  <c r="C244" i="9"/>
  <c r="E247" i="9"/>
  <c r="F247" i="9"/>
  <c r="J247" i="9"/>
  <c r="D139" i="9"/>
  <c r="C169" i="9"/>
  <c r="E169" i="9"/>
  <c r="D175" i="9"/>
  <c r="F187" i="9"/>
  <c r="H247" i="9"/>
  <c r="J244" i="9"/>
  <c r="D244" i="9"/>
  <c r="J241" i="9"/>
  <c r="F241" i="9"/>
  <c r="E241" i="9"/>
  <c r="D241" i="9"/>
  <c r="C24" i="9"/>
  <c r="F31" i="9"/>
  <c r="D37" i="9"/>
  <c r="D46" i="9"/>
  <c r="D49" i="9"/>
  <c r="C53" i="9"/>
  <c r="C72" i="9"/>
  <c r="C75" i="9"/>
  <c r="F133" i="9"/>
  <c r="D142" i="9"/>
  <c r="E142" i="9"/>
  <c r="F142" i="9"/>
  <c r="D148" i="9"/>
  <c r="D151" i="9"/>
  <c r="F172" i="9"/>
  <c r="E190" i="9"/>
  <c r="D199" i="9"/>
  <c r="D214" i="9"/>
  <c r="D217" i="9"/>
  <c r="D220" i="9"/>
  <c r="E220" i="9"/>
  <c r="F220" i="9"/>
  <c r="D10" i="9"/>
  <c r="C28" i="9"/>
  <c r="C50" i="9"/>
  <c r="C126" i="9"/>
  <c r="E70" i="9"/>
  <c r="C83" i="9"/>
  <c r="C84" i="9"/>
  <c r="F85" i="9"/>
  <c r="C78" i="9"/>
  <c r="C56" i="9"/>
  <c r="F100" i="9"/>
  <c r="E217" i="9"/>
  <c r="C25" i="9"/>
  <c r="H217" i="9"/>
  <c r="C11" i="9"/>
  <c r="C14" i="9"/>
  <c r="C17" i="9"/>
  <c r="C20" i="9"/>
  <c r="F160" i="9"/>
  <c r="F166" i="9"/>
  <c r="C179" i="9"/>
  <c r="C8" i="9"/>
  <c r="C7" i="9" s="1"/>
  <c r="D28" i="9"/>
  <c r="F49" i="9"/>
  <c r="C81" i="9"/>
  <c r="C93" i="9"/>
  <c r="D172" i="9"/>
  <c r="F217" i="9"/>
  <c r="E238" i="9"/>
  <c r="D238" i="9"/>
  <c r="E235" i="9"/>
  <c r="D235" i="9"/>
  <c r="E232" i="9"/>
  <c r="D232" i="9"/>
  <c r="F229" i="9"/>
  <c r="E229" i="9"/>
  <c r="D229" i="9"/>
  <c r="F226" i="9"/>
  <c r="E226" i="9"/>
  <c r="D226" i="9"/>
  <c r="C226" i="9"/>
  <c r="E223" i="9"/>
  <c r="C223" i="9"/>
  <c r="F211" i="9"/>
  <c r="E211" i="9"/>
  <c r="D211" i="9"/>
  <c r="F208" i="9"/>
  <c r="E208" i="9"/>
  <c r="D208" i="9"/>
  <c r="F205" i="9"/>
  <c r="E205" i="9"/>
  <c r="D205" i="9"/>
  <c r="F199" i="9"/>
  <c r="E199" i="9"/>
  <c r="E196" i="9"/>
  <c r="D196" i="9"/>
  <c r="E193" i="9"/>
  <c r="D193" i="9"/>
  <c r="F190" i="9"/>
  <c r="D190" i="9"/>
  <c r="D187" i="9"/>
  <c r="E184" i="9"/>
  <c r="D184" i="9"/>
  <c r="F181" i="9"/>
  <c r="E181" i="9"/>
  <c r="D181" i="9"/>
  <c r="E178" i="9"/>
  <c r="E175" i="9"/>
  <c r="C172" i="9"/>
  <c r="D169" i="9"/>
  <c r="D166" i="9"/>
  <c r="F163" i="9"/>
  <c r="C164" i="9"/>
  <c r="E163" i="9"/>
  <c r="D163" i="9"/>
  <c r="D160" i="9"/>
  <c r="F157" i="9"/>
  <c r="E157" i="9"/>
  <c r="D157" i="9"/>
  <c r="D154" i="9"/>
  <c r="F148" i="9"/>
  <c r="E148" i="9"/>
  <c r="F145" i="9"/>
  <c r="E145" i="9"/>
  <c r="D145" i="9"/>
  <c r="F139" i="9"/>
  <c r="E136" i="9"/>
  <c r="D136" i="9"/>
  <c r="D133" i="9"/>
  <c r="C133" i="9"/>
  <c r="E130" i="9"/>
  <c r="D130" i="9"/>
  <c r="C127" i="9"/>
  <c r="E127" i="9"/>
  <c r="D127" i="9"/>
  <c r="E124" i="9"/>
  <c r="D124" i="9"/>
  <c r="D121" i="9"/>
  <c r="E118" i="9"/>
  <c r="D118" i="9"/>
  <c r="D115" i="9"/>
  <c r="F112" i="9"/>
  <c r="D112" i="9"/>
  <c r="D109" i="9"/>
  <c r="D106" i="9"/>
  <c r="F103" i="9"/>
  <c r="E103" i="9"/>
  <c r="D103" i="9"/>
  <c r="D97" i="9"/>
  <c r="E94" i="9"/>
  <c r="D94" i="9"/>
  <c r="F91" i="9"/>
  <c r="E91" i="9"/>
  <c r="D91" i="9"/>
  <c r="D85" i="9"/>
  <c r="F82" i="9"/>
  <c r="E82" i="9"/>
  <c r="D82" i="9"/>
  <c r="F79" i="9"/>
  <c r="E79" i="9"/>
  <c r="D79" i="9"/>
  <c r="C80" i="9"/>
  <c r="E76" i="9"/>
  <c r="D76" i="9"/>
  <c r="E73" i="9"/>
  <c r="D73" i="9"/>
  <c r="D70" i="9"/>
  <c r="C71" i="9"/>
  <c r="D64" i="9"/>
  <c r="D61" i="9"/>
  <c r="D58" i="9"/>
  <c r="C57" i="9"/>
  <c r="C54" i="9"/>
  <c r="F52" i="9"/>
  <c r="C51" i="9"/>
  <c r="E49" i="9"/>
  <c r="F46" i="9"/>
  <c r="C45" i="9"/>
  <c r="C44" i="9"/>
  <c r="C42" i="9"/>
  <c r="D34" i="9"/>
  <c r="C35" i="9"/>
  <c r="C31" i="9"/>
  <c r="D31" i="9"/>
  <c r="D25" i="9"/>
  <c r="D22" i="9"/>
  <c r="H7" i="9"/>
  <c r="AJ59" i="4"/>
  <c r="Q13" i="4"/>
  <c r="P12" i="4"/>
  <c r="P13" i="4" s="1"/>
  <c r="J53" i="13" l="1"/>
  <c r="H19" i="5" s="1"/>
  <c r="C178" i="9"/>
  <c r="K53" i="13"/>
  <c r="K59" i="13" s="1"/>
  <c r="K60" i="13" s="1"/>
  <c r="E19" i="5"/>
  <c r="G37" i="13"/>
  <c r="G56" i="13"/>
  <c r="G59" i="13"/>
  <c r="G60" i="13" s="1"/>
  <c r="M46" i="13"/>
  <c r="M51" i="13" s="1"/>
  <c r="M21" i="13"/>
  <c r="M26" i="13" s="1"/>
  <c r="N8" i="13"/>
  <c r="N21" i="13" s="1"/>
  <c r="N26" i="13" s="1"/>
  <c r="M41" i="13"/>
  <c r="M38" i="13" s="1"/>
  <c r="L38" i="13"/>
  <c r="L53" i="13" s="1"/>
  <c r="K56" i="13"/>
  <c r="I37" i="13"/>
  <c r="K12" i="13"/>
  <c r="I10" i="5"/>
  <c r="H22" i="13"/>
  <c r="F10" i="5"/>
  <c r="F286" i="9"/>
  <c r="E286" i="9"/>
  <c r="D286" i="9"/>
  <c r="A65" i="16"/>
  <c r="A63" i="16"/>
  <c r="A64" i="16" s="1"/>
  <c r="J59" i="13"/>
  <c r="J60" i="13" s="1"/>
  <c r="J37" i="13"/>
  <c r="J56" i="13"/>
  <c r="C49" i="11"/>
  <c r="H53" i="13"/>
  <c r="F19" i="5" s="1"/>
  <c r="AL51" i="13"/>
  <c r="AK51" i="13"/>
  <c r="AK50" i="13"/>
  <c r="AL50" i="13"/>
  <c r="H12" i="13"/>
  <c r="H34" i="13"/>
  <c r="H35" i="13" s="1"/>
  <c r="H31" i="13"/>
  <c r="K22" i="13"/>
  <c r="C288" i="9"/>
  <c r="K34" i="13"/>
  <c r="K35" i="13" s="1"/>
  <c r="K31" i="13"/>
  <c r="N20" i="13"/>
  <c r="N25" i="13" s="1"/>
  <c r="N15" i="13"/>
  <c r="O9" i="13"/>
  <c r="N40" i="13"/>
  <c r="N45" i="13"/>
  <c r="N50" i="13" s="1"/>
  <c r="N19" i="13"/>
  <c r="N14" i="13"/>
  <c r="O7" i="13"/>
  <c r="N44" i="13"/>
  <c r="N39" i="13"/>
  <c r="M24" i="13"/>
  <c r="M18" i="13"/>
  <c r="N16" i="13"/>
  <c r="L28" i="13"/>
  <c r="M13" i="13"/>
  <c r="C51" i="11"/>
  <c r="C82" i="9"/>
  <c r="D51" i="11"/>
  <c r="C287" i="9"/>
  <c r="K37" i="13" l="1"/>
  <c r="I19" i="5"/>
  <c r="M48" i="13"/>
  <c r="M53" i="13" s="1"/>
  <c r="M56" i="13" s="1"/>
  <c r="M43" i="13"/>
  <c r="M23" i="13"/>
  <c r="M28" i="13" s="1"/>
  <c r="N41" i="13"/>
  <c r="N38" i="13" s="1"/>
  <c r="AL39" i="13" s="1"/>
  <c r="O8" i="13"/>
  <c r="O16" i="13" s="1"/>
  <c r="N46" i="13"/>
  <c r="N51" i="13" s="1"/>
  <c r="L37" i="13"/>
  <c r="J19" i="5"/>
  <c r="G19" i="5"/>
  <c r="I56" i="13"/>
  <c r="I59" i="13"/>
  <c r="I60" i="13" s="1"/>
  <c r="L12" i="13"/>
  <c r="J10" i="5"/>
  <c r="A68" i="16"/>
  <c r="A66" i="16"/>
  <c r="A67" i="16" s="1"/>
  <c r="G16" i="11"/>
  <c r="I16" i="11"/>
  <c r="K16" i="11"/>
  <c r="F16" i="11"/>
  <c r="U20" i="11"/>
  <c r="S20" i="11"/>
  <c r="R17" i="11"/>
  <c r="R9" i="11"/>
  <c r="V6" i="11"/>
  <c r="V19" i="11" s="1"/>
  <c r="U6" i="11"/>
  <c r="AB34" i="11" s="1"/>
  <c r="T6" i="11"/>
  <c r="T22" i="11" s="1"/>
  <c r="S19" i="11"/>
  <c r="H16" i="11"/>
  <c r="J16" i="11"/>
  <c r="L16" i="11"/>
  <c r="H37" i="13"/>
  <c r="H56" i="13"/>
  <c r="H59" i="13"/>
  <c r="H60" i="13" s="1"/>
  <c r="L22" i="13"/>
  <c r="F25" i="8"/>
  <c r="F37" i="8" s="1"/>
  <c r="U23" i="11"/>
  <c r="T23" i="11"/>
  <c r="T20" i="11"/>
  <c r="T19" i="11"/>
  <c r="I22" i="11"/>
  <c r="I19" i="11"/>
  <c r="F22" i="11"/>
  <c r="F19" i="11"/>
  <c r="J22" i="11"/>
  <c r="J19" i="11"/>
  <c r="S23" i="11"/>
  <c r="R23" i="11"/>
  <c r="R20" i="11"/>
  <c r="V23" i="11"/>
  <c r="V20" i="11"/>
  <c r="R22" i="11"/>
  <c r="R19" i="11"/>
  <c r="V22" i="11"/>
  <c r="G22" i="11"/>
  <c r="G19" i="11"/>
  <c r="K22" i="11"/>
  <c r="K19" i="11"/>
  <c r="H22" i="11"/>
  <c r="H19" i="11"/>
  <c r="L22" i="11"/>
  <c r="L19" i="11"/>
  <c r="L59" i="13"/>
  <c r="L60" i="13" s="1"/>
  <c r="L56" i="13"/>
  <c r="L34" i="13"/>
  <c r="L35" i="13" s="1"/>
  <c r="L31" i="13"/>
  <c r="N49" i="13"/>
  <c r="O20" i="13"/>
  <c r="O25" i="13" s="1"/>
  <c r="O15" i="13"/>
  <c r="P9" i="13"/>
  <c r="O40" i="13"/>
  <c r="O45" i="13"/>
  <c r="O50" i="13" s="1"/>
  <c r="N13" i="13"/>
  <c r="O19" i="13"/>
  <c r="O14" i="13"/>
  <c r="P7" i="13"/>
  <c r="O44" i="13"/>
  <c r="O39" i="13"/>
  <c r="N24" i="13"/>
  <c r="N18" i="13"/>
  <c r="AB35" i="11"/>
  <c r="AA35" i="11"/>
  <c r="T14" i="11"/>
  <c r="C50" i="11"/>
  <c r="C53" i="11" s="1"/>
  <c r="S13" i="11"/>
  <c r="Y34" i="11"/>
  <c r="R8" i="11"/>
  <c r="R13" i="11"/>
  <c r="V8" i="11"/>
  <c r="V13" i="11"/>
  <c r="N34" i="11"/>
  <c r="G13" i="11"/>
  <c r="R34" i="11"/>
  <c r="K13" i="11"/>
  <c r="H13" i="11"/>
  <c r="O34" i="11"/>
  <c r="L13" i="11"/>
  <c r="S34" i="11"/>
  <c r="E51" i="11"/>
  <c r="C46" i="11"/>
  <c r="R14" i="11"/>
  <c r="Y35" i="11"/>
  <c r="V14" i="11"/>
  <c r="AC35" i="11"/>
  <c r="AD35" i="11" s="1"/>
  <c r="AE35" i="11" s="1"/>
  <c r="AF35" i="11" s="1"/>
  <c r="AG35" i="11" s="1"/>
  <c r="AH35" i="11" s="1"/>
  <c r="AI35" i="11" s="1"/>
  <c r="T8" i="11"/>
  <c r="T13" i="11"/>
  <c r="AA34" i="11"/>
  <c r="P34" i="11"/>
  <c r="I13" i="11"/>
  <c r="M34" i="11"/>
  <c r="C58" i="11"/>
  <c r="F13" i="11"/>
  <c r="Q34" i="11"/>
  <c r="J13" i="11"/>
  <c r="D46" i="11"/>
  <c r="J112" i="9"/>
  <c r="I109" i="9"/>
  <c r="J106" i="9"/>
  <c r="C106" i="9"/>
  <c r="I103" i="9"/>
  <c r="J100" i="9"/>
  <c r="C100" i="9"/>
  <c r="I97" i="9"/>
  <c r="J94" i="9"/>
  <c r="C94" i="9"/>
  <c r="I91" i="9"/>
  <c r="J88" i="9"/>
  <c r="C88" i="9"/>
  <c r="H85" i="9"/>
  <c r="I82" i="9"/>
  <c r="H79" i="9"/>
  <c r="I76" i="9"/>
  <c r="J76" i="9"/>
  <c r="C76" i="9"/>
  <c r="G73" i="9"/>
  <c r="H73" i="9"/>
  <c r="I70" i="9"/>
  <c r="H67" i="9"/>
  <c r="I64" i="9"/>
  <c r="J64" i="9"/>
  <c r="C64" i="9"/>
  <c r="G61" i="9"/>
  <c r="H61" i="9"/>
  <c r="I58" i="9"/>
  <c r="H55" i="9"/>
  <c r="I52" i="9"/>
  <c r="J52" i="9"/>
  <c r="C52" i="9"/>
  <c r="G49" i="9"/>
  <c r="H49" i="9"/>
  <c r="I46" i="9"/>
  <c r="H43" i="9"/>
  <c r="I40" i="9"/>
  <c r="J40" i="9"/>
  <c r="C40" i="9"/>
  <c r="G37" i="9"/>
  <c r="H37" i="9"/>
  <c r="I34" i="9"/>
  <c r="H31" i="9"/>
  <c r="I28" i="9"/>
  <c r="J28" i="9"/>
  <c r="G25" i="9"/>
  <c r="H25" i="9"/>
  <c r="I22" i="9"/>
  <c r="H19" i="9"/>
  <c r="I16" i="9"/>
  <c r="J16" i="9"/>
  <c r="C16" i="9"/>
  <c r="G13" i="9"/>
  <c r="H13" i="9"/>
  <c r="J8" i="9"/>
  <c r="J238" i="9"/>
  <c r="I238" i="9"/>
  <c r="H238" i="9"/>
  <c r="J235" i="9"/>
  <c r="I235" i="9"/>
  <c r="H235" i="9"/>
  <c r="J232" i="9"/>
  <c r="I232" i="9"/>
  <c r="H232" i="9"/>
  <c r="C232" i="9"/>
  <c r="J229" i="9"/>
  <c r="I229" i="9"/>
  <c r="H229" i="9"/>
  <c r="C229" i="9"/>
  <c r="J226" i="9"/>
  <c r="I226" i="9"/>
  <c r="H226" i="9"/>
  <c r="J223" i="9"/>
  <c r="I223" i="9"/>
  <c r="H223" i="9"/>
  <c r="J220" i="9"/>
  <c r="I220" i="9"/>
  <c r="H220" i="9"/>
  <c r="J217" i="9"/>
  <c r="I217" i="9"/>
  <c r="C217" i="9"/>
  <c r="J214" i="9"/>
  <c r="I214" i="9"/>
  <c r="H214" i="9"/>
  <c r="C214" i="9"/>
  <c r="J211" i="9"/>
  <c r="I211" i="9"/>
  <c r="H211" i="9"/>
  <c r="C211" i="9"/>
  <c r="J208" i="9"/>
  <c r="I208" i="9"/>
  <c r="H208" i="9"/>
  <c r="C208" i="9"/>
  <c r="J205" i="9"/>
  <c r="I205" i="9"/>
  <c r="H205" i="9"/>
  <c r="C205" i="9"/>
  <c r="J202" i="9"/>
  <c r="I202" i="9"/>
  <c r="H202" i="9"/>
  <c r="C202" i="9"/>
  <c r="J199" i="9"/>
  <c r="I199" i="9"/>
  <c r="H199" i="9"/>
  <c r="C199" i="9"/>
  <c r="J196" i="9"/>
  <c r="I196" i="9"/>
  <c r="H196" i="9"/>
  <c r="C196" i="9"/>
  <c r="J193" i="9"/>
  <c r="I193" i="9"/>
  <c r="H193" i="9"/>
  <c r="C193" i="9"/>
  <c r="I190" i="9"/>
  <c r="H190" i="9"/>
  <c r="C190" i="9"/>
  <c r="J187" i="9"/>
  <c r="I187" i="9"/>
  <c r="H187" i="9"/>
  <c r="C187" i="9"/>
  <c r="J184" i="9"/>
  <c r="I184" i="9"/>
  <c r="H184" i="9"/>
  <c r="C184" i="9"/>
  <c r="J181" i="9"/>
  <c r="I181" i="9"/>
  <c r="H181" i="9"/>
  <c r="C181" i="9"/>
  <c r="J178" i="9"/>
  <c r="I178" i="9"/>
  <c r="H178" i="9"/>
  <c r="J175" i="9"/>
  <c r="I175" i="9"/>
  <c r="H175" i="9"/>
  <c r="C175" i="9"/>
  <c r="J172" i="9"/>
  <c r="I172" i="9"/>
  <c r="H172" i="9"/>
  <c r="J169" i="9"/>
  <c r="I169" i="9"/>
  <c r="H169" i="9"/>
  <c r="J166" i="9"/>
  <c r="I166" i="9"/>
  <c r="H166" i="9"/>
  <c r="C166" i="9"/>
  <c r="J163" i="9"/>
  <c r="I163" i="9"/>
  <c r="H163" i="9"/>
  <c r="C163" i="9"/>
  <c r="J160" i="9"/>
  <c r="I160" i="9"/>
  <c r="H160" i="9"/>
  <c r="C160" i="9"/>
  <c r="J157" i="9"/>
  <c r="I157" i="9"/>
  <c r="H157" i="9"/>
  <c r="C157" i="9"/>
  <c r="J154" i="9"/>
  <c r="I154" i="9"/>
  <c r="H154" i="9"/>
  <c r="C154" i="9"/>
  <c r="J151" i="9"/>
  <c r="I151" i="9"/>
  <c r="H151" i="9"/>
  <c r="C151" i="9"/>
  <c r="J148" i="9"/>
  <c r="I148" i="9"/>
  <c r="H148" i="9"/>
  <c r="C148" i="9"/>
  <c r="J145" i="9"/>
  <c r="I145" i="9"/>
  <c r="H145" i="9"/>
  <c r="C145" i="9"/>
  <c r="J142" i="9"/>
  <c r="I142" i="9"/>
  <c r="H142" i="9"/>
  <c r="C142" i="9"/>
  <c r="J139" i="9"/>
  <c r="I139" i="9"/>
  <c r="H139" i="9"/>
  <c r="C139" i="9"/>
  <c r="J136" i="9"/>
  <c r="I136" i="9"/>
  <c r="H136" i="9"/>
  <c r="C136" i="9"/>
  <c r="J133" i="9"/>
  <c r="I133" i="9"/>
  <c r="H133" i="9"/>
  <c r="J130" i="9"/>
  <c r="I130" i="9"/>
  <c r="H130" i="9"/>
  <c r="C130" i="9"/>
  <c r="J127" i="9"/>
  <c r="I127" i="9"/>
  <c r="H127" i="9"/>
  <c r="J124" i="9"/>
  <c r="I124" i="9"/>
  <c r="H124" i="9"/>
  <c r="C124" i="9"/>
  <c r="J121" i="9"/>
  <c r="I121" i="9"/>
  <c r="H121" i="9"/>
  <c r="C121" i="9"/>
  <c r="J118" i="9"/>
  <c r="I118" i="9"/>
  <c r="H118" i="9"/>
  <c r="C118" i="9"/>
  <c r="J115" i="9"/>
  <c r="I115" i="9"/>
  <c r="H115" i="9"/>
  <c r="C115" i="9"/>
  <c r="I112" i="9"/>
  <c r="H112" i="9"/>
  <c r="J109" i="9"/>
  <c r="H109" i="9"/>
  <c r="C109" i="9"/>
  <c r="H106" i="9"/>
  <c r="H103" i="9"/>
  <c r="C103" i="9"/>
  <c r="H100" i="9"/>
  <c r="J97" i="9"/>
  <c r="H97" i="9"/>
  <c r="C97" i="9"/>
  <c r="H94" i="9"/>
  <c r="J91" i="9"/>
  <c r="H91" i="9"/>
  <c r="C91" i="9"/>
  <c r="H88" i="9"/>
  <c r="J85" i="9"/>
  <c r="I85" i="9"/>
  <c r="C85" i="9"/>
  <c r="J82" i="9"/>
  <c r="H82" i="9"/>
  <c r="J79" i="9"/>
  <c r="I79" i="9"/>
  <c r="G79" i="9"/>
  <c r="C79" i="9"/>
  <c r="H76" i="9"/>
  <c r="G76" i="9"/>
  <c r="J73" i="9"/>
  <c r="I73" i="9"/>
  <c r="C73" i="9"/>
  <c r="J70" i="9"/>
  <c r="H70" i="9"/>
  <c r="C70" i="9"/>
  <c r="J67" i="9"/>
  <c r="I67" i="9"/>
  <c r="G67" i="9"/>
  <c r="C67" i="9"/>
  <c r="H64" i="9"/>
  <c r="G64" i="9"/>
  <c r="J61" i="9"/>
  <c r="I61" i="9"/>
  <c r="C61" i="9"/>
  <c r="J58" i="9"/>
  <c r="H58" i="9"/>
  <c r="G58" i="9"/>
  <c r="C58" i="9"/>
  <c r="J55" i="9"/>
  <c r="I55" i="9"/>
  <c r="G55" i="9"/>
  <c r="C55" i="9"/>
  <c r="H52" i="9"/>
  <c r="G52" i="9"/>
  <c r="J49" i="9"/>
  <c r="I49" i="9"/>
  <c r="C49" i="9"/>
  <c r="J46" i="9"/>
  <c r="H46" i="9"/>
  <c r="G46" i="9"/>
  <c r="C46" i="9"/>
  <c r="J43" i="9"/>
  <c r="I43" i="9"/>
  <c r="G43" i="9"/>
  <c r="C43" i="9"/>
  <c r="H40" i="9"/>
  <c r="G40" i="9"/>
  <c r="J37" i="9"/>
  <c r="I37" i="9"/>
  <c r="C37" i="9"/>
  <c r="J34" i="9"/>
  <c r="H34" i="9"/>
  <c r="G34" i="9"/>
  <c r="C34" i="9"/>
  <c r="J31" i="9"/>
  <c r="I31" i="9"/>
  <c r="G31" i="9"/>
  <c r="H28" i="9"/>
  <c r="G28" i="9"/>
  <c r="J25" i="9"/>
  <c r="I25" i="9"/>
  <c r="J22" i="9"/>
  <c r="H22" i="9"/>
  <c r="G22" i="9"/>
  <c r="C22" i="9"/>
  <c r="J19" i="9"/>
  <c r="I19" i="9"/>
  <c r="C19" i="9"/>
  <c r="H16" i="9"/>
  <c r="G16" i="9"/>
  <c r="J13" i="9"/>
  <c r="I13" i="9"/>
  <c r="C13" i="9"/>
  <c r="J10" i="9"/>
  <c r="H10" i="9"/>
  <c r="G10" i="9"/>
  <c r="C10" i="9"/>
  <c r="I7" i="9"/>
  <c r="G286" i="9" l="1"/>
  <c r="V18" i="11"/>
  <c r="AC34" i="11"/>
  <c r="AC36" i="11" s="1"/>
  <c r="AL14" i="13"/>
  <c r="M59" i="13"/>
  <c r="M60" i="13" s="1"/>
  <c r="N43" i="13"/>
  <c r="O41" i="13"/>
  <c r="P8" i="13"/>
  <c r="P16" i="13" s="1"/>
  <c r="O46" i="13"/>
  <c r="O51" i="13" s="1"/>
  <c r="O21" i="13"/>
  <c r="O26" i="13" s="1"/>
  <c r="AA36" i="11"/>
  <c r="M37" i="13"/>
  <c r="K19" i="5"/>
  <c r="M12" i="13"/>
  <c r="K10" i="5"/>
  <c r="AL15" i="13"/>
  <c r="AL16" i="13"/>
  <c r="U19" i="11"/>
  <c r="U18" i="11" s="1"/>
  <c r="U10" i="11"/>
  <c r="U9" i="11" s="1"/>
  <c r="U25" i="11"/>
  <c r="U24" i="11" s="1"/>
  <c r="T25" i="11"/>
  <c r="T10" i="11"/>
  <c r="T9" i="11" s="1"/>
  <c r="V25" i="11"/>
  <c r="V24" i="11" s="1"/>
  <c r="V10" i="11"/>
  <c r="V9" i="11" s="1"/>
  <c r="R18" i="11"/>
  <c r="U13" i="11"/>
  <c r="Z35" i="11"/>
  <c r="L28" i="11"/>
  <c r="H28" i="11"/>
  <c r="S22" i="11"/>
  <c r="S21" i="11" s="1"/>
  <c r="U22" i="11"/>
  <c r="U21" i="11" s="1"/>
  <c r="U8" i="11"/>
  <c r="S14" i="11"/>
  <c r="S12" i="11" s="1"/>
  <c r="S8" i="11"/>
  <c r="Z34" i="11"/>
  <c r="Z36" i="11" s="1"/>
  <c r="U14" i="11"/>
  <c r="I28" i="11"/>
  <c r="A71" i="16"/>
  <c r="A69" i="16"/>
  <c r="A70" i="16" s="1"/>
  <c r="J28" i="11"/>
  <c r="F28" i="11"/>
  <c r="K28" i="11"/>
  <c r="G28" i="11"/>
  <c r="R16" i="11"/>
  <c r="R28" i="11" s="1"/>
  <c r="T16" i="11"/>
  <c r="V16" i="11"/>
  <c r="V28" i="11" s="1"/>
  <c r="T17" i="11"/>
  <c r="T29" i="11" s="1"/>
  <c r="V17" i="11"/>
  <c r="V29" i="11" s="1"/>
  <c r="S16" i="11"/>
  <c r="U16" i="11"/>
  <c r="U28" i="11" s="1"/>
  <c r="S17" i="11"/>
  <c r="U17" i="11"/>
  <c r="U29" i="11" s="1"/>
  <c r="F23" i="11"/>
  <c r="F21" i="11" s="1"/>
  <c r="L23" i="11"/>
  <c r="L21" i="11" s="1"/>
  <c r="K23" i="11"/>
  <c r="K21" i="11" s="1"/>
  <c r="J23" i="11"/>
  <c r="J21" i="11" s="1"/>
  <c r="I23" i="11"/>
  <c r="I21" i="11" s="1"/>
  <c r="H23" i="11"/>
  <c r="H21" i="11" s="1"/>
  <c r="G23" i="11"/>
  <c r="G21" i="11" s="1"/>
  <c r="P23" i="11"/>
  <c r="N23" i="11"/>
  <c r="M17" i="11"/>
  <c r="Q22" i="11"/>
  <c r="O22" i="11"/>
  <c r="M22" i="11"/>
  <c r="R29" i="11"/>
  <c r="F20" i="8"/>
  <c r="D71" i="8" s="1"/>
  <c r="F17" i="8"/>
  <c r="T12" i="11"/>
  <c r="L9" i="15"/>
  <c r="L9" i="14"/>
  <c r="M43" i="11"/>
  <c r="E46" i="11"/>
  <c r="T21" i="11"/>
  <c r="AB36" i="11"/>
  <c r="N48" i="13"/>
  <c r="AL40" i="13"/>
  <c r="AL41" i="13"/>
  <c r="N23" i="13"/>
  <c r="M22" i="13"/>
  <c r="F20" i="11"/>
  <c r="F18" i="11" s="1"/>
  <c r="J8" i="11"/>
  <c r="J20" i="11"/>
  <c r="J18" i="11" s="1"/>
  <c r="M23" i="11"/>
  <c r="M20" i="11"/>
  <c r="Q23" i="11"/>
  <c r="Q20" i="11"/>
  <c r="O19" i="11"/>
  <c r="P22" i="11"/>
  <c r="P19" i="11"/>
  <c r="K20" i="11"/>
  <c r="K18" i="11" s="1"/>
  <c r="H20" i="11"/>
  <c r="H18" i="11" s="1"/>
  <c r="L20" i="11"/>
  <c r="L18" i="11" s="1"/>
  <c r="O23" i="11"/>
  <c r="O20" i="11"/>
  <c r="M19" i="11"/>
  <c r="N22" i="11"/>
  <c r="N19" i="11"/>
  <c r="O49" i="13"/>
  <c r="P20" i="13"/>
  <c r="P25" i="13" s="1"/>
  <c r="P15" i="13"/>
  <c r="Q9" i="13"/>
  <c r="P45" i="13"/>
  <c r="P50" i="13" s="1"/>
  <c r="P40" i="13"/>
  <c r="O13" i="13"/>
  <c r="P19" i="13"/>
  <c r="P14" i="13"/>
  <c r="Q7" i="13"/>
  <c r="P44" i="13"/>
  <c r="P39" i="13"/>
  <c r="O24" i="13"/>
  <c r="M34" i="13"/>
  <c r="M35" i="13" s="1"/>
  <c r="M31" i="13"/>
  <c r="G14" i="11"/>
  <c r="G12" i="11" s="1"/>
  <c r="K14" i="11"/>
  <c r="K12" i="11" s="1"/>
  <c r="H14" i="11"/>
  <c r="H12" i="11" s="1"/>
  <c r="S35" i="11"/>
  <c r="S36" i="11" s="1"/>
  <c r="C60" i="11"/>
  <c r="C61" i="11"/>
  <c r="V35" i="11"/>
  <c r="O14" i="11"/>
  <c r="M8" i="11"/>
  <c r="Q13" i="11"/>
  <c r="U34" i="11"/>
  <c r="N8" i="11"/>
  <c r="N13" i="11"/>
  <c r="C286" i="9"/>
  <c r="H286" i="9"/>
  <c r="C8" i="18" s="1"/>
  <c r="V21" i="11"/>
  <c r="R12" i="11"/>
  <c r="Y36" i="11"/>
  <c r="S18" i="11"/>
  <c r="T18" i="11"/>
  <c r="P35" i="11"/>
  <c r="P36" i="11" s="1"/>
  <c r="D58" i="11"/>
  <c r="M35" i="11"/>
  <c r="J14" i="11"/>
  <c r="J12" i="11" s="1"/>
  <c r="D59" i="11"/>
  <c r="E59" i="11" s="1"/>
  <c r="C64" i="11"/>
  <c r="C62" i="11"/>
  <c r="AD34" i="11"/>
  <c r="T35" i="11"/>
  <c r="M14" i="11"/>
  <c r="X35" i="11"/>
  <c r="Q14" i="11"/>
  <c r="N14" i="11"/>
  <c r="U35" i="11"/>
  <c r="O13" i="11"/>
  <c r="P13" i="11"/>
  <c r="W34" i="11"/>
  <c r="L8" i="11"/>
  <c r="G8" i="11"/>
  <c r="V12" i="11"/>
  <c r="R21" i="11"/>
  <c r="J7" i="9"/>
  <c r="J286" i="9" s="1"/>
  <c r="J287" i="9"/>
  <c r="I10" i="9"/>
  <c r="I286" i="9" s="1"/>
  <c r="I88" i="9"/>
  <c r="I94" i="9"/>
  <c r="I100" i="9"/>
  <c r="I106" i="9"/>
  <c r="AE27" i="8"/>
  <c r="AF27" i="8"/>
  <c r="AB27" i="8"/>
  <c r="AA27" i="8"/>
  <c r="F40" i="8"/>
  <c r="G40" i="8" s="1"/>
  <c r="H40" i="8" s="1"/>
  <c r="I40" i="8" s="1"/>
  <c r="J40" i="8" s="1"/>
  <c r="K40" i="8" s="1"/>
  <c r="L40" i="8" s="1"/>
  <c r="M40" i="8" s="1"/>
  <c r="N40" i="8" s="1"/>
  <c r="O40" i="8" s="1"/>
  <c r="P40" i="8" s="1"/>
  <c r="Q40" i="8" s="1"/>
  <c r="R40" i="8" s="1"/>
  <c r="S40" i="8" s="1"/>
  <c r="T40" i="8" s="1"/>
  <c r="U40" i="8" s="1"/>
  <c r="V40" i="8" s="1"/>
  <c r="W40" i="8" s="1"/>
  <c r="X40" i="8" s="1"/>
  <c r="Y40" i="8" s="1"/>
  <c r="Z40" i="8" s="1"/>
  <c r="AA40" i="8" s="1"/>
  <c r="AB40" i="8" s="1"/>
  <c r="AC40" i="8" s="1"/>
  <c r="AD40" i="8" s="1"/>
  <c r="AE40" i="8" s="1"/>
  <c r="AF40" i="8" s="1"/>
  <c r="AG40" i="8" s="1"/>
  <c r="O23" i="13" l="1"/>
  <c r="T28" i="11"/>
  <c r="T27" i="11" s="1"/>
  <c r="U12" i="11"/>
  <c r="F29" i="8"/>
  <c r="AL49" i="13"/>
  <c r="O48" i="13"/>
  <c r="P41" i="13"/>
  <c r="P38" i="13" s="1"/>
  <c r="O18" i="13"/>
  <c r="O43" i="13"/>
  <c r="O38" i="13"/>
  <c r="Q8" i="13"/>
  <c r="Q16" i="13" s="1"/>
  <c r="P46" i="13"/>
  <c r="P51" i="13" s="1"/>
  <c r="P21" i="13"/>
  <c r="P26" i="13" s="1"/>
  <c r="C71" i="8"/>
  <c r="E71" i="8" s="1"/>
  <c r="D70" i="8"/>
  <c r="C70" i="8"/>
  <c r="AC27" i="8"/>
  <c r="AG27" i="8"/>
  <c r="AD27" i="8"/>
  <c r="V15" i="11"/>
  <c r="S29" i="11"/>
  <c r="O12" i="11"/>
  <c r="S15" i="11"/>
  <c r="S28" i="11"/>
  <c r="T24" i="11"/>
  <c r="D25" i="11"/>
  <c r="X34" i="11"/>
  <c r="X36" i="11" s="1"/>
  <c r="P14" i="11"/>
  <c r="P12" i="11" s="1"/>
  <c r="Q19" i="11"/>
  <c r="Q18" i="11" s="1"/>
  <c r="P20" i="11"/>
  <c r="P18" i="11" s="1"/>
  <c r="G20" i="11"/>
  <c r="G18" i="11" s="1"/>
  <c r="N20" i="11"/>
  <c r="N18" i="11" s="1"/>
  <c r="I20" i="11"/>
  <c r="I18" i="11" s="1"/>
  <c r="M9" i="11"/>
  <c r="O21" i="11"/>
  <c r="P21" i="11"/>
  <c r="D11" i="11"/>
  <c r="A74" i="16"/>
  <c r="A72" i="16"/>
  <c r="A73" i="16" s="1"/>
  <c r="I8" i="11"/>
  <c r="F8" i="11"/>
  <c r="F9" i="11"/>
  <c r="P8" i="11"/>
  <c r="O8" i="11"/>
  <c r="V34" i="11"/>
  <c r="V36" i="11" s="1"/>
  <c r="F14" i="11"/>
  <c r="I14" i="11"/>
  <c r="R15" i="11"/>
  <c r="K8" i="11"/>
  <c r="Q8" i="11"/>
  <c r="M13" i="11"/>
  <c r="M12" i="11" s="1"/>
  <c r="T34" i="11"/>
  <c r="T36" i="11" s="1"/>
  <c r="W35" i="11"/>
  <c r="W36" i="11" s="1"/>
  <c r="R35" i="11"/>
  <c r="R36" i="11" s="1"/>
  <c r="N35" i="11"/>
  <c r="N36" i="11" s="1"/>
  <c r="V27" i="11"/>
  <c r="Q35" i="11"/>
  <c r="Q36" i="11" s="1"/>
  <c r="D7" i="11"/>
  <c r="H8" i="11"/>
  <c r="L14" i="11"/>
  <c r="L12" i="11" s="1"/>
  <c r="O35" i="11"/>
  <c r="O36" i="11" s="1"/>
  <c r="D10" i="11"/>
  <c r="N16" i="11"/>
  <c r="N28" i="11" s="1"/>
  <c r="P16" i="11"/>
  <c r="P28" i="11" s="1"/>
  <c r="O17" i="11"/>
  <c r="O29" i="11" s="1"/>
  <c r="Q17" i="11"/>
  <c r="Q29" i="11" s="1"/>
  <c r="H17" i="11"/>
  <c r="H15" i="11" s="1"/>
  <c r="J17" i="11"/>
  <c r="J15" i="11" s="1"/>
  <c r="L17" i="11"/>
  <c r="L15" i="11" s="1"/>
  <c r="U15" i="11"/>
  <c r="M16" i="11"/>
  <c r="M15" i="11" s="1"/>
  <c r="D6" i="11"/>
  <c r="O16" i="11"/>
  <c r="O28" i="11" s="1"/>
  <c r="Q16" i="11"/>
  <c r="N17" i="11"/>
  <c r="P17" i="11"/>
  <c r="G17" i="11"/>
  <c r="G15" i="11" s="1"/>
  <c r="I17" i="11"/>
  <c r="I15" i="11" s="1"/>
  <c r="K17" i="11"/>
  <c r="K15" i="11" s="1"/>
  <c r="F17" i="11"/>
  <c r="F15" i="11" s="1"/>
  <c r="M29" i="11"/>
  <c r="T15" i="11"/>
  <c r="R27" i="11"/>
  <c r="O18" i="11"/>
  <c r="M36" i="11"/>
  <c r="AL25" i="13"/>
  <c r="AL26" i="13"/>
  <c r="AL24" i="13"/>
  <c r="R8" i="13"/>
  <c r="P49" i="13"/>
  <c r="P13" i="13"/>
  <c r="Q19" i="13"/>
  <c r="Q14" i="13"/>
  <c r="R7" i="13"/>
  <c r="Q44" i="13"/>
  <c r="Q39" i="13"/>
  <c r="P24" i="13"/>
  <c r="P23" i="13" s="1"/>
  <c r="P18" i="13"/>
  <c r="Q20" i="13"/>
  <c r="Q25" i="13" s="1"/>
  <c r="Q15" i="13"/>
  <c r="R9" i="13"/>
  <c r="Q40" i="13"/>
  <c r="Q45" i="13"/>
  <c r="Q50" i="13" s="1"/>
  <c r="AD36" i="11"/>
  <c r="AE34" i="11"/>
  <c r="D22" i="11"/>
  <c r="U27" i="11"/>
  <c r="N21" i="11"/>
  <c r="M18" i="11"/>
  <c r="M21" i="11"/>
  <c r="E58" i="11"/>
  <c r="D23" i="11"/>
  <c r="D64" i="11"/>
  <c r="E64" i="11" s="1"/>
  <c r="N12" i="11"/>
  <c r="U36" i="11"/>
  <c r="Q12" i="11"/>
  <c r="Q21" i="11"/>
  <c r="C65" i="11"/>
  <c r="AF24" i="8"/>
  <c r="AB24" i="8"/>
  <c r="AE24" i="8"/>
  <c r="AD24" i="8"/>
  <c r="AA24" i="8"/>
  <c r="AE18" i="8"/>
  <c r="AB18" i="8"/>
  <c r="AA18" i="8"/>
  <c r="X18" i="8"/>
  <c r="AG18" i="8"/>
  <c r="AC18" i="8"/>
  <c r="AF18" i="8"/>
  <c r="AF15" i="8"/>
  <c r="AB15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Q12" i="8"/>
  <c r="P12" i="8"/>
  <c r="O12" i="8"/>
  <c r="N12" i="8"/>
  <c r="L12" i="8"/>
  <c r="K12" i="8"/>
  <c r="J12" i="8"/>
  <c r="I12" i="8"/>
  <c r="H12" i="8"/>
  <c r="G12" i="8"/>
  <c r="O15" i="11" l="1"/>
  <c r="N29" i="11"/>
  <c r="P48" i="13"/>
  <c r="Q13" i="13"/>
  <c r="Q46" i="13"/>
  <c r="Q51" i="13" s="1"/>
  <c r="Q41" i="13"/>
  <c r="R41" i="13" s="1"/>
  <c r="S41" i="13" s="1"/>
  <c r="Q21" i="13"/>
  <c r="Q26" i="13" s="1"/>
  <c r="P43" i="13"/>
  <c r="X37" i="8"/>
  <c r="Z24" i="8"/>
  <c r="Z37" i="8"/>
  <c r="Y37" i="8"/>
  <c r="W37" i="8"/>
  <c r="C75" i="8"/>
  <c r="X27" i="8"/>
  <c r="E70" i="8"/>
  <c r="Z38" i="8"/>
  <c r="AA52" i="13" s="1"/>
  <c r="AB52" i="13" s="1"/>
  <c r="AC52" i="13" s="1"/>
  <c r="AD52" i="13" s="1"/>
  <c r="AE52" i="13" s="1"/>
  <c r="AF52" i="13" s="1"/>
  <c r="AG52" i="13" s="1"/>
  <c r="AH52" i="13" s="1"/>
  <c r="AI52" i="13" s="1"/>
  <c r="Y27" i="8"/>
  <c r="W38" i="8"/>
  <c r="X52" i="13" s="1"/>
  <c r="W27" i="8"/>
  <c r="D75" i="8"/>
  <c r="D9" i="11"/>
  <c r="AD18" i="8"/>
  <c r="AC24" i="8"/>
  <c r="AD36" i="8"/>
  <c r="Z17" i="14"/>
  <c r="AD17" i="14"/>
  <c r="AG24" i="8"/>
  <c r="AB8" i="14"/>
  <c r="AF8" i="15"/>
  <c r="P29" i="11"/>
  <c r="P27" i="11" s="1"/>
  <c r="D13" i="11"/>
  <c r="N43" i="11"/>
  <c r="O43" i="11" s="1"/>
  <c r="S27" i="11"/>
  <c r="D19" i="11"/>
  <c r="M44" i="11"/>
  <c r="Q28" i="11"/>
  <c r="Q27" i="11" s="1"/>
  <c r="D35" i="11"/>
  <c r="D60" i="11"/>
  <c r="E60" i="11" s="1"/>
  <c r="W24" i="8"/>
  <c r="N15" i="11"/>
  <c r="Q15" i="11"/>
  <c r="D62" i="11"/>
  <c r="E62" i="11" s="1"/>
  <c r="F12" i="11"/>
  <c r="X15" i="8"/>
  <c r="D16" i="11"/>
  <c r="M28" i="11"/>
  <c r="M27" i="11" s="1"/>
  <c r="D17" i="11"/>
  <c r="D20" i="11"/>
  <c r="W18" i="8"/>
  <c r="Y18" i="8"/>
  <c r="Z18" i="8"/>
  <c r="X24" i="8"/>
  <c r="Y24" i="8"/>
  <c r="D14" i="11"/>
  <c r="I12" i="11"/>
  <c r="D61" i="11"/>
  <c r="E61" i="11" s="1"/>
  <c r="D8" i="11"/>
  <c r="A77" i="16"/>
  <c r="A75" i="16"/>
  <c r="A76" i="16" s="1"/>
  <c r="P15" i="11"/>
  <c r="J29" i="11"/>
  <c r="J27" i="11" s="1"/>
  <c r="H29" i="11"/>
  <c r="H27" i="11" s="1"/>
  <c r="O27" i="11"/>
  <c r="F29" i="11"/>
  <c r="F27" i="11" s="1"/>
  <c r="K29" i="11"/>
  <c r="K27" i="11" s="1"/>
  <c r="I29" i="11"/>
  <c r="I27" i="11" s="1"/>
  <c r="G29" i="11"/>
  <c r="G27" i="11" s="1"/>
  <c r="L29" i="11"/>
  <c r="L27" i="11" s="1"/>
  <c r="Z8" i="15"/>
  <c r="Z8" i="14"/>
  <c r="AD8" i="15"/>
  <c r="AD8" i="14"/>
  <c r="AD17" i="5"/>
  <c r="AD17" i="15"/>
  <c r="AF8" i="14"/>
  <c r="AA17" i="5"/>
  <c r="AA17" i="15"/>
  <c r="AA17" i="14"/>
  <c r="AC17" i="5"/>
  <c r="AC17" i="15"/>
  <c r="AC17" i="14"/>
  <c r="AE17" i="5"/>
  <c r="AE17" i="15"/>
  <c r="AE17" i="14"/>
  <c r="N44" i="11"/>
  <c r="D18" i="11"/>
  <c r="N27" i="11"/>
  <c r="R19" i="13"/>
  <c r="R14" i="13"/>
  <c r="S7" i="13"/>
  <c r="R44" i="13"/>
  <c r="R39" i="13"/>
  <c r="Q24" i="13"/>
  <c r="Q18" i="13"/>
  <c r="R21" i="13"/>
  <c r="R26" i="13" s="1"/>
  <c r="R16" i="13"/>
  <c r="S8" i="13"/>
  <c r="R46" i="13"/>
  <c r="R51" i="13" s="1"/>
  <c r="R20" i="13"/>
  <c r="R25" i="13" s="1"/>
  <c r="R15" i="13"/>
  <c r="S9" i="13"/>
  <c r="R40" i="13"/>
  <c r="R45" i="13"/>
  <c r="R50" i="13" s="1"/>
  <c r="Q49" i="13"/>
  <c r="D21" i="11"/>
  <c r="D24" i="11"/>
  <c r="E63" i="11"/>
  <c r="AE36" i="11"/>
  <c r="AF34" i="11"/>
  <c r="AB8" i="5"/>
  <c r="Z15" i="8"/>
  <c r="AD15" i="8"/>
  <c r="Z8" i="5"/>
  <c r="AE36" i="8"/>
  <c r="AD8" i="5"/>
  <c r="AF8" i="5"/>
  <c r="Y15" i="8"/>
  <c r="AC15" i="8"/>
  <c r="AG15" i="8"/>
  <c r="W15" i="8"/>
  <c r="AA15" i="8"/>
  <c r="AE15" i="8"/>
  <c r="K18" i="5"/>
  <c r="J18" i="5"/>
  <c r="I18" i="5"/>
  <c r="H18" i="5"/>
  <c r="G18" i="5"/>
  <c r="F18" i="5"/>
  <c r="E18" i="5"/>
  <c r="D18" i="5"/>
  <c r="D17" i="5"/>
  <c r="K9" i="5"/>
  <c r="J9" i="5"/>
  <c r="I9" i="5"/>
  <c r="H9" i="5"/>
  <c r="G9" i="5"/>
  <c r="F9" i="5"/>
  <c r="E9" i="5"/>
  <c r="D9" i="5"/>
  <c r="D8" i="5"/>
  <c r="AG8" i="8"/>
  <c r="AG30" i="8" s="1"/>
  <c r="AF8" i="8"/>
  <c r="AF30" i="8" s="1"/>
  <c r="AE8" i="8"/>
  <c r="AE30" i="8" s="1"/>
  <c r="AD8" i="8"/>
  <c r="AD30" i="8" s="1"/>
  <c r="AC8" i="8"/>
  <c r="AC30" i="8" s="1"/>
  <c r="AB8" i="8"/>
  <c r="AB30" i="8" s="1"/>
  <c r="AA8" i="8"/>
  <c r="AA30" i="8" s="1"/>
  <c r="Z8" i="8"/>
  <c r="Y8" i="8"/>
  <c r="X8" i="8"/>
  <c r="W8" i="8"/>
  <c r="D30" i="8" l="1"/>
  <c r="Q23" i="13"/>
  <c r="Q48" i="13"/>
  <c r="Q43" i="13"/>
  <c r="Q38" i="13"/>
  <c r="Z27" i="8"/>
  <c r="X38" i="8"/>
  <c r="Y38" i="8"/>
  <c r="E75" i="8"/>
  <c r="AC8" i="5"/>
  <c r="AB8" i="15"/>
  <c r="AC8" i="15"/>
  <c r="AC8" i="14"/>
  <c r="Z17" i="15"/>
  <c r="O44" i="11"/>
  <c r="Z17" i="5"/>
  <c r="AA36" i="8"/>
  <c r="D12" i="11"/>
  <c r="D28" i="11"/>
  <c r="D15" i="11"/>
  <c r="D65" i="11"/>
  <c r="D29" i="11"/>
  <c r="D27" i="11"/>
  <c r="Y17" i="15"/>
  <c r="Y17" i="5"/>
  <c r="Y17" i="14"/>
  <c r="V8" i="14"/>
  <c r="V8" i="15"/>
  <c r="V8" i="5"/>
  <c r="X8" i="15"/>
  <c r="X8" i="14"/>
  <c r="X8" i="5"/>
  <c r="W36" i="8"/>
  <c r="A80" i="16"/>
  <c r="A78" i="16"/>
  <c r="A79" i="16" s="1"/>
  <c r="AB17" i="5"/>
  <c r="AB17" i="14"/>
  <c r="AB17" i="15"/>
  <c r="AE8" i="14"/>
  <c r="AE8" i="15"/>
  <c r="W8" i="14"/>
  <c r="W8" i="15"/>
  <c r="AC36" i="8"/>
  <c r="AF17" i="5"/>
  <c r="AF17" i="14"/>
  <c r="AF17" i="15"/>
  <c r="X17" i="14"/>
  <c r="AA8" i="14"/>
  <c r="AA8" i="15"/>
  <c r="E65" i="11"/>
  <c r="S20" i="13"/>
  <c r="S25" i="13" s="1"/>
  <c r="S15" i="13"/>
  <c r="T9" i="13"/>
  <c r="S40" i="13"/>
  <c r="S45" i="13"/>
  <c r="S50" i="13" s="1"/>
  <c r="S19" i="13"/>
  <c r="S14" i="13"/>
  <c r="T7" i="13"/>
  <c r="S44" i="13"/>
  <c r="S39" i="13"/>
  <c r="R24" i="13"/>
  <c r="R23" i="13" s="1"/>
  <c r="R18" i="13"/>
  <c r="R38" i="13"/>
  <c r="S21" i="13"/>
  <c r="S26" i="13" s="1"/>
  <c r="S16" i="13"/>
  <c r="T8" i="13"/>
  <c r="T41" i="13" s="1"/>
  <c r="S46" i="13"/>
  <c r="S51" i="13" s="1"/>
  <c r="R43" i="13"/>
  <c r="R49" i="13"/>
  <c r="R48" i="13" s="1"/>
  <c r="R13" i="13"/>
  <c r="AF36" i="11"/>
  <c r="AG34" i="11"/>
  <c r="D34" i="11" s="1"/>
  <c r="AF36" i="8"/>
  <c r="AE8" i="5"/>
  <c r="W8" i="5"/>
  <c r="AG36" i="8"/>
  <c r="AA8" i="5"/>
  <c r="AB36" i="8"/>
  <c r="C6" i="8"/>
  <c r="C7" i="8"/>
  <c r="W17" i="15" l="1"/>
  <c r="Y52" i="13"/>
  <c r="X17" i="15"/>
  <c r="Z52" i="13"/>
  <c r="W17" i="5"/>
  <c r="X36" i="8"/>
  <c r="W17" i="14"/>
  <c r="X17" i="5"/>
  <c r="Y36" i="8"/>
  <c r="V17" i="14"/>
  <c r="V17" i="5"/>
  <c r="V17" i="15"/>
  <c r="Y8" i="15"/>
  <c r="Y8" i="5"/>
  <c r="Y8" i="14"/>
  <c r="Z36" i="8"/>
  <c r="A83" i="16"/>
  <c r="A81" i="16"/>
  <c r="A82" i="16" s="1"/>
  <c r="S38" i="13"/>
  <c r="AM39" i="13" s="1"/>
  <c r="M44" i="8"/>
  <c r="F26" i="8"/>
  <c r="AG36" i="11"/>
  <c r="D36" i="11" s="1"/>
  <c r="AH34" i="11"/>
  <c r="S49" i="13"/>
  <c r="S43" i="13"/>
  <c r="T20" i="13"/>
  <c r="T25" i="13" s="1"/>
  <c r="T15" i="13"/>
  <c r="U9" i="13"/>
  <c r="T45" i="13"/>
  <c r="T50" i="13" s="1"/>
  <c r="T40" i="13"/>
  <c r="S13" i="13"/>
  <c r="T21" i="13"/>
  <c r="T26" i="13" s="1"/>
  <c r="T16" i="13"/>
  <c r="U8" i="13"/>
  <c r="U41" i="13" s="1"/>
  <c r="T46" i="13"/>
  <c r="T51" i="13" s="1"/>
  <c r="T19" i="13"/>
  <c r="T14" i="13"/>
  <c r="U7" i="13"/>
  <c r="V7" i="13" s="1"/>
  <c r="T44" i="13"/>
  <c r="T39" i="13"/>
  <c r="S24" i="13"/>
  <c r="S18" i="13"/>
  <c r="M12" i="8"/>
  <c r="R12" i="8"/>
  <c r="D14" i="8"/>
  <c r="D13" i="8"/>
  <c r="AA44" i="8"/>
  <c r="AM16" i="13" l="1"/>
  <c r="T13" i="13"/>
  <c r="F38" i="8"/>
  <c r="F36" i="8" s="1"/>
  <c r="AM14" i="13"/>
  <c r="AM15" i="13"/>
  <c r="A86" i="16"/>
  <c r="A84" i="16"/>
  <c r="A85" i="16" s="1"/>
  <c r="T9" i="15"/>
  <c r="T9" i="14"/>
  <c r="Z18" i="5"/>
  <c r="Z18" i="15"/>
  <c r="Z20" i="15" s="1"/>
  <c r="Z22" i="15" s="1"/>
  <c r="Z18" i="14"/>
  <c r="Z20" i="14" s="1"/>
  <c r="Z22" i="14" s="1"/>
  <c r="L18" i="15"/>
  <c r="L18" i="14"/>
  <c r="AM40" i="13"/>
  <c r="T38" i="13"/>
  <c r="S48" i="13"/>
  <c r="AM41" i="13"/>
  <c r="S23" i="13"/>
  <c r="AM24" i="13" s="1"/>
  <c r="V43" i="8"/>
  <c r="U9" i="5" s="1"/>
  <c r="O37" i="8"/>
  <c r="P27" i="13" s="1"/>
  <c r="P28" i="13" s="1"/>
  <c r="J38" i="8"/>
  <c r="N37" i="8"/>
  <c r="O27" i="13" s="1"/>
  <c r="O28" i="13" s="1"/>
  <c r="O38" i="8"/>
  <c r="P52" i="13" s="1"/>
  <c r="P53" i="13" s="1"/>
  <c r="M37" i="8"/>
  <c r="N27" i="13" s="1"/>
  <c r="N28" i="13" s="1"/>
  <c r="U37" i="8"/>
  <c r="M38" i="8"/>
  <c r="N52" i="13" s="1"/>
  <c r="N53" i="13" s="1"/>
  <c r="S37" i="8"/>
  <c r="T27" i="13" s="1"/>
  <c r="U27" i="13" s="1"/>
  <c r="V27" i="13" s="1"/>
  <c r="W27" i="13" s="1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AH27" i="13" s="1"/>
  <c r="AI27" i="13" s="1"/>
  <c r="G38" i="8"/>
  <c r="K38" i="8"/>
  <c r="H37" i="8"/>
  <c r="V37" i="8"/>
  <c r="S38" i="8"/>
  <c r="T52" i="13" s="1"/>
  <c r="U38" i="8"/>
  <c r="V52" i="13" s="1"/>
  <c r="I37" i="8"/>
  <c r="Q38" i="8"/>
  <c r="R52" i="13" s="1"/>
  <c r="R53" i="13" s="1"/>
  <c r="P19" i="5" s="1"/>
  <c r="AH36" i="11"/>
  <c r="AI34" i="11"/>
  <c r="AI36" i="11" s="1"/>
  <c r="P37" i="8"/>
  <c r="Q27" i="13" s="1"/>
  <c r="Q28" i="13" s="1"/>
  <c r="Q31" i="13" s="1"/>
  <c r="Q37" i="8"/>
  <c r="R27" i="13" s="1"/>
  <c r="R28" i="13" s="1"/>
  <c r="R34" i="13" s="1"/>
  <c r="R35" i="13" s="1"/>
  <c r="H38" i="8"/>
  <c r="T37" i="8"/>
  <c r="L38" i="8"/>
  <c r="R37" i="8"/>
  <c r="S27" i="13" s="1"/>
  <c r="I38" i="8"/>
  <c r="P38" i="8"/>
  <c r="Q52" i="13" s="1"/>
  <c r="Q53" i="13" s="1"/>
  <c r="O19" i="5" s="1"/>
  <c r="K37" i="8"/>
  <c r="T38" i="8"/>
  <c r="U52" i="13" s="1"/>
  <c r="V38" i="8"/>
  <c r="W52" i="13" s="1"/>
  <c r="R38" i="8"/>
  <c r="S52" i="13" s="1"/>
  <c r="L37" i="8"/>
  <c r="J37" i="8"/>
  <c r="N38" i="8"/>
  <c r="O52" i="13" s="1"/>
  <c r="O53" i="13" s="1"/>
  <c r="T43" i="13"/>
  <c r="T49" i="13"/>
  <c r="T48" i="13" s="1"/>
  <c r="U20" i="13"/>
  <c r="U25" i="13" s="1"/>
  <c r="U15" i="13"/>
  <c r="V9" i="13"/>
  <c r="U40" i="13"/>
  <c r="U45" i="13"/>
  <c r="U50" i="13" s="1"/>
  <c r="U19" i="13"/>
  <c r="U14" i="13"/>
  <c r="U44" i="13"/>
  <c r="U39" i="13"/>
  <c r="T24" i="13"/>
  <c r="T23" i="13" s="1"/>
  <c r="T18" i="13"/>
  <c r="U21" i="13"/>
  <c r="U26" i="13" s="1"/>
  <c r="U16" i="13"/>
  <c r="V8" i="13"/>
  <c r="U46" i="13"/>
  <c r="U51" i="13" s="1"/>
  <c r="F12" i="8"/>
  <c r="D12" i="8" s="1"/>
  <c r="S43" i="8"/>
  <c r="AB43" i="8"/>
  <c r="AA9" i="5" s="1"/>
  <c r="S44" i="8"/>
  <c r="U27" i="8"/>
  <c r="N44" i="8"/>
  <c r="F27" i="8"/>
  <c r="M8" i="8"/>
  <c r="N27" i="8"/>
  <c r="U18" i="8"/>
  <c r="X44" i="8"/>
  <c r="Q8" i="8"/>
  <c r="AC43" i="8"/>
  <c r="AD43" i="8" s="1"/>
  <c r="P27" i="8"/>
  <c r="U44" i="8"/>
  <c r="L9" i="5"/>
  <c r="X43" i="8"/>
  <c r="Q43" i="8"/>
  <c r="N43" i="8"/>
  <c r="N8" i="8"/>
  <c r="T43" i="8"/>
  <c r="R44" i="8"/>
  <c r="K8" i="8"/>
  <c r="P43" i="8"/>
  <c r="O27" i="8"/>
  <c r="T44" i="8"/>
  <c r="V44" i="8"/>
  <c r="O43" i="8"/>
  <c r="U8" i="8"/>
  <c r="Z44" i="8"/>
  <c r="AB44" i="8"/>
  <c r="Y44" i="8"/>
  <c r="E60" i="8"/>
  <c r="AC44" i="8"/>
  <c r="V8" i="8"/>
  <c r="AA43" i="8"/>
  <c r="O44" i="8"/>
  <c r="R43" i="8"/>
  <c r="G8" i="8"/>
  <c r="I8" i="8"/>
  <c r="L8" i="8"/>
  <c r="P44" i="8"/>
  <c r="H8" i="8"/>
  <c r="H18" i="8"/>
  <c r="Z43" i="8"/>
  <c r="R18" i="8"/>
  <c r="Y43" i="8"/>
  <c r="W43" i="8"/>
  <c r="S8" i="8"/>
  <c r="W44" i="8"/>
  <c r="M18" i="8"/>
  <c r="R8" i="8"/>
  <c r="P8" i="8"/>
  <c r="O8" i="8"/>
  <c r="T8" i="8"/>
  <c r="D7" i="8"/>
  <c r="J18" i="8"/>
  <c r="J8" i="8"/>
  <c r="Q44" i="8"/>
  <c r="L18" i="5"/>
  <c r="V27" i="8"/>
  <c r="F15" i="8"/>
  <c r="F24" i="8"/>
  <c r="F18" i="8"/>
  <c r="M45" i="8"/>
  <c r="T9" i="5"/>
  <c r="F3" i="8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AE3" i="8" s="1"/>
  <c r="AF3" i="8" s="1"/>
  <c r="AG3" i="8" s="1"/>
  <c r="AH3" i="8" s="1"/>
  <c r="AI3" i="8" s="1"/>
  <c r="E5" i="5"/>
  <c r="F5" i="5" s="1"/>
  <c r="G5" i="5" s="1"/>
  <c r="H5" i="5" s="1"/>
  <c r="I5" i="5" s="1"/>
  <c r="J5" i="5" s="1"/>
  <c r="K5" i="5" s="1"/>
  <c r="L5" i="5" s="1"/>
  <c r="M5" i="5" s="1"/>
  <c r="N5" i="5" s="1"/>
  <c r="O5" i="5" s="1"/>
  <c r="P5" i="5" s="1"/>
  <c r="Q5" i="5" s="1"/>
  <c r="R5" i="5" s="1"/>
  <c r="S5" i="5" s="1"/>
  <c r="T5" i="5" s="1"/>
  <c r="U5" i="5" s="1"/>
  <c r="V5" i="5" s="1"/>
  <c r="W5" i="5" s="1"/>
  <c r="X5" i="5" s="1"/>
  <c r="Y5" i="5" s="1"/>
  <c r="Z5" i="5" s="1"/>
  <c r="AA5" i="5" s="1"/>
  <c r="AB5" i="5" s="1"/>
  <c r="AC5" i="5" s="1"/>
  <c r="AD5" i="5" s="1"/>
  <c r="AE5" i="5" s="1"/>
  <c r="AF5" i="5" s="1"/>
  <c r="AG5" i="5" s="1"/>
  <c r="AH5" i="5" s="1"/>
  <c r="R31" i="13" l="1"/>
  <c r="R22" i="13"/>
  <c r="P10" i="5"/>
  <c r="Q56" i="13"/>
  <c r="R12" i="13"/>
  <c r="R59" i="13"/>
  <c r="R60" i="13" s="1"/>
  <c r="R56" i="13"/>
  <c r="Q59" i="13"/>
  <c r="Q60" i="13" s="1"/>
  <c r="T53" i="13"/>
  <c r="R37" i="13"/>
  <c r="Q37" i="13"/>
  <c r="Q34" i="13"/>
  <c r="Q35" i="13" s="1"/>
  <c r="Q12" i="13"/>
  <c r="Q22" i="13"/>
  <c r="O10" i="5"/>
  <c r="N59" i="13"/>
  <c r="N60" i="13" s="1"/>
  <c r="N37" i="13"/>
  <c r="N56" i="13"/>
  <c r="L19" i="5"/>
  <c r="P37" i="13"/>
  <c r="P59" i="13"/>
  <c r="P60" i="13" s="1"/>
  <c r="P56" i="13"/>
  <c r="N19" i="5"/>
  <c r="O37" i="13"/>
  <c r="M19" i="5"/>
  <c r="O56" i="13"/>
  <c r="O59" i="13"/>
  <c r="O60" i="13" s="1"/>
  <c r="O31" i="13"/>
  <c r="O34" i="13"/>
  <c r="O35" i="13" s="1"/>
  <c r="M10" i="5"/>
  <c r="O12" i="13"/>
  <c r="O22" i="13"/>
  <c r="N22" i="13"/>
  <c r="N34" i="13"/>
  <c r="N35" i="13" s="1"/>
  <c r="N12" i="13"/>
  <c r="L10" i="5"/>
  <c r="N31" i="13"/>
  <c r="N10" i="5"/>
  <c r="P12" i="13"/>
  <c r="P31" i="13"/>
  <c r="P34" i="13"/>
  <c r="P35" i="13" s="1"/>
  <c r="P22" i="13"/>
  <c r="AM49" i="13"/>
  <c r="S53" i="13"/>
  <c r="Q19" i="5" s="1"/>
  <c r="T28" i="13"/>
  <c r="T31" i="13" s="1"/>
  <c r="S28" i="13"/>
  <c r="O36" i="8"/>
  <c r="D72" i="8"/>
  <c r="D77" i="8" s="1"/>
  <c r="G37" i="8"/>
  <c r="C72" i="8"/>
  <c r="R19" i="5"/>
  <c r="U38" i="13"/>
  <c r="S24" i="8"/>
  <c r="N24" i="8"/>
  <c r="U13" i="13"/>
  <c r="R17" i="15"/>
  <c r="A89" i="16"/>
  <c r="A87" i="16"/>
  <c r="A88" i="16" s="1"/>
  <c r="V24" i="8"/>
  <c r="M24" i="8"/>
  <c r="P24" i="8"/>
  <c r="S27" i="8"/>
  <c r="F17" i="5"/>
  <c r="I27" i="8"/>
  <c r="K27" i="8"/>
  <c r="M15" i="8"/>
  <c r="R15" i="8"/>
  <c r="N15" i="8"/>
  <c r="O15" i="8"/>
  <c r="I15" i="8"/>
  <c r="Q15" i="8"/>
  <c r="Q27" i="8"/>
  <c r="R24" i="8"/>
  <c r="T27" i="8"/>
  <c r="Q18" i="8"/>
  <c r="K24" i="8"/>
  <c r="M27" i="8"/>
  <c r="O24" i="8"/>
  <c r="E8" i="14"/>
  <c r="E8" i="15"/>
  <c r="P18" i="5"/>
  <c r="P18" i="15"/>
  <c r="P18" i="14"/>
  <c r="V18" i="5"/>
  <c r="V18" i="15"/>
  <c r="V20" i="15" s="1"/>
  <c r="V22" i="15" s="1"/>
  <c r="V18" i="14"/>
  <c r="V20" i="14" s="1"/>
  <c r="V22" i="14" s="1"/>
  <c r="V9" i="5"/>
  <c r="V9" i="15"/>
  <c r="V11" i="15" s="1"/>
  <c r="V13" i="15" s="1"/>
  <c r="V9" i="14"/>
  <c r="V11" i="14" s="1"/>
  <c r="V13" i="14" s="1"/>
  <c r="Y9" i="5"/>
  <c r="Y9" i="14"/>
  <c r="Y11" i="14" s="1"/>
  <c r="Y13" i="14" s="1"/>
  <c r="Y9" i="15"/>
  <c r="Y11" i="15" s="1"/>
  <c r="Y13" i="15" s="1"/>
  <c r="O18" i="5"/>
  <c r="O18" i="14"/>
  <c r="O18" i="15"/>
  <c r="R45" i="8"/>
  <c r="Q9" i="14"/>
  <c r="Q9" i="15"/>
  <c r="AB18" i="5"/>
  <c r="AB18" i="15"/>
  <c r="AB20" i="15" s="1"/>
  <c r="AB22" i="15" s="1"/>
  <c r="AB18" i="14"/>
  <c r="AB20" i="14" s="1"/>
  <c r="AB22" i="14" s="1"/>
  <c r="R17" i="14"/>
  <c r="AA18" i="5"/>
  <c r="AA18" i="14"/>
  <c r="AA20" i="14" s="1"/>
  <c r="AA22" i="14" s="1"/>
  <c r="AA18" i="15"/>
  <c r="AA20" i="15" s="1"/>
  <c r="AA22" i="15" s="1"/>
  <c r="N9" i="5"/>
  <c r="N9" i="15"/>
  <c r="N9" i="14"/>
  <c r="U18" i="5"/>
  <c r="U18" i="14"/>
  <c r="U18" i="15"/>
  <c r="Q18" i="5"/>
  <c r="Q18" i="14"/>
  <c r="Q18" i="15"/>
  <c r="P9" i="5"/>
  <c r="P9" i="15"/>
  <c r="P9" i="14"/>
  <c r="R18" i="5"/>
  <c r="R18" i="15"/>
  <c r="R18" i="14"/>
  <c r="AA9" i="14"/>
  <c r="AA11" i="14" s="1"/>
  <c r="AA13" i="14" s="1"/>
  <c r="AA9" i="15"/>
  <c r="AA11" i="15" s="1"/>
  <c r="AA13" i="15" s="1"/>
  <c r="AC9" i="14"/>
  <c r="AC11" i="14" s="1"/>
  <c r="AC13" i="14" s="1"/>
  <c r="AC9" i="15"/>
  <c r="AC11" i="15" s="1"/>
  <c r="AC13" i="15" s="1"/>
  <c r="X9" i="5"/>
  <c r="X9" i="15"/>
  <c r="X11" i="15" s="1"/>
  <c r="X13" i="15" s="1"/>
  <c r="X9" i="14"/>
  <c r="X11" i="14" s="1"/>
  <c r="X13" i="14" s="1"/>
  <c r="N18" i="5"/>
  <c r="N18" i="15"/>
  <c r="N18" i="14"/>
  <c r="Z9" i="5"/>
  <c r="Z9" i="15"/>
  <c r="Z11" i="15" s="1"/>
  <c r="Z13" i="15" s="1"/>
  <c r="Z9" i="14"/>
  <c r="Z11" i="14" s="1"/>
  <c r="Z13" i="14" s="1"/>
  <c r="X18" i="5"/>
  <c r="X18" i="15"/>
  <c r="X20" i="15" s="1"/>
  <c r="X22" i="15" s="1"/>
  <c r="X18" i="14"/>
  <c r="X20" i="14" s="1"/>
  <c r="X22" i="14" s="1"/>
  <c r="Y18" i="5"/>
  <c r="Y18" i="14"/>
  <c r="Y20" i="14" s="1"/>
  <c r="Y22" i="14" s="1"/>
  <c r="Y18" i="15"/>
  <c r="Y20" i="15" s="1"/>
  <c r="Y22" i="15" s="1"/>
  <c r="S18" i="5"/>
  <c r="S18" i="14"/>
  <c r="S18" i="15"/>
  <c r="O9" i="5"/>
  <c r="O9" i="14"/>
  <c r="O9" i="15"/>
  <c r="S9" i="5"/>
  <c r="S9" i="14"/>
  <c r="S9" i="15"/>
  <c r="M9" i="14"/>
  <c r="M9" i="15"/>
  <c r="W9" i="5"/>
  <c r="W9" i="14"/>
  <c r="W11" i="14" s="1"/>
  <c r="W13" i="14" s="1"/>
  <c r="W9" i="15"/>
  <c r="W11" i="15" s="1"/>
  <c r="W13" i="15" s="1"/>
  <c r="T18" i="5"/>
  <c r="T18" i="15"/>
  <c r="T18" i="14"/>
  <c r="AB9" i="15"/>
  <c r="AB11" i="15" s="1"/>
  <c r="AB13" i="15" s="1"/>
  <c r="AB9" i="14"/>
  <c r="AB11" i="14" s="1"/>
  <c r="AB13" i="14" s="1"/>
  <c r="W18" i="5"/>
  <c r="W18" i="14"/>
  <c r="W20" i="14" s="1"/>
  <c r="W22" i="14" s="1"/>
  <c r="W18" i="15"/>
  <c r="W20" i="15" s="1"/>
  <c r="W22" i="15" s="1"/>
  <c r="M18" i="14"/>
  <c r="M18" i="15"/>
  <c r="R9" i="5"/>
  <c r="R9" i="15"/>
  <c r="R9" i="14"/>
  <c r="U9" i="14"/>
  <c r="U9" i="15"/>
  <c r="L24" i="8"/>
  <c r="G24" i="8"/>
  <c r="H27" i="8"/>
  <c r="S45" i="8"/>
  <c r="L18" i="8"/>
  <c r="G27" i="8"/>
  <c r="G15" i="8"/>
  <c r="Q24" i="8"/>
  <c r="AM51" i="13"/>
  <c r="AM50" i="13"/>
  <c r="AM25" i="13"/>
  <c r="AM26" i="13"/>
  <c r="S18" i="8"/>
  <c r="V19" i="13"/>
  <c r="V14" i="13"/>
  <c r="W7" i="13"/>
  <c r="V44" i="13"/>
  <c r="V39" i="13"/>
  <c r="U24" i="13"/>
  <c r="U23" i="13" s="1"/>
  <c r="U18" i="13"/>
  <c r="V20" i="13"/>
  <c r="V25" i="13" s="1"/>
  <c r="V15" i="13"/>
  <c r="W9" i="13"/>
  <c r="V40" i="13"/>
  <c r="V45" i="13"/>
  <c r="V50" i="13" s="1"/>
  <c r="V21" i="13"/>
  <c r="V26" i="13" s="1"/>
  <c r="V16" i="13"/>
  <c r="W8" i="13"/>
  <c r="V46" i="13"/>
  <c r="V51" i="13" s="1"/>
  <c r="U49" i="13"/>
  <c r="U48" i="13" s="1"/>
  <c r="U53" i="13" s="1"/>
  <c r="U43" i="13"/>
  <c r="V41" i="13"/>
  <c r="M18" i="5"/>
  <c r="AC45" i="8"/>
  <c r="AB9" i="5"/>
  <c r="T18" i="8"/>
  <c r="N17" i="5"/>
  <c r="Q36" i="8"/>
  <c r="U15" i="8"/>
  <c r="S15" i="8"/>
  <c r="N45" i="8"/>
  <c r="J15" i="8"/>
  <c r="U45" i="8"/>
  <c r="X45" i="8"/>
  <c r="U24" i="8"/>
  <c r="T15" i="8"/>
  <c r="G18" i="8"/>
  <c r="P45" i="8"/>
  <c r="AB45" i="8"/>
  <c r="AA45" i="8"/>
  <c r="V45" i="8"/>
  <c r="N18" i="8"/>
  <c r="P18" i="8"/>
  <c r="L15" i="8"/>
  <c r="O45" i="8"/>
  <c r="K18" i="8"/>
  <c r="H24" i="8"/>
  <c r="L27" i="8"/>
  <c r="D29" i="8"/>
  <c r="P15" i="8"/>
  <c r="M9" i="5"/>
  <c r="J24" i="8"/>
  <c r="AD44" i="8"/>
  <c r="V15" i="8"/>
  <c r="I18" i="8"/>
  <c r="V18" i="8"/>
  <c r="H15" i="8"/>
  <c r="K15" i="8"/>
  <c r="I24" i="8"/>
  <c r="T45" i="8"/>
  <c r="Q9" i="5"/>
  <c r="D26" i="8"/>
  <c r="Z45" i="8"/>
  <c r="Y45" i="8"/>
  <c r="T24" i="8"/>
  <c r="Q45" i="8"/>
  <c r="J27" i="8"/>
  <c r="D28" i="8"/>
  <c r="D16" i="8"/>
  <c r="D25" i="8"/>
  <c r="W45" i="8"/>
  <c r="D20" i="8"/>
  <c r="R27" i="8"/>
  <c r="D17" i="8"/>
  <c r="D8" i="8"/>
  <c r="D19" i="8"/>
  <c r="O18" i="8"/>
  <c r="C8" i="8"/>
  <c r="R17" i="5"/>
  <c r="P17" i="5"/>
  <c r="K8" i="5"/>
  <c r="M8" i="5"/>
  <c r="M17" i="5"/>
  <c r="S17" i="5"/>
  <c r="E8" i="5"/>
  <c r="P8" i="5"/>
  <c r="T17" i="5"/>
  <c r="AC9" i="5"/>
  <c r="AE43" i="8"/>
  <c r="D27" i="5" l="1"/>
  <c r="C39" i="5"/>
  <c r="C28" i="5"/>
  <c r="D28" i="5"/>
  <c r="C27" i="5"/>
  <c r="E27" i="5" s="1"/>
  <c r="U28" i="13"/>
  <c r="U34" i="13" s="1"/>
  <c r="U35" i="13" s="1"/>
  <c r="D33" i="5"/>
  <c r="D39" i="5"/>
  <c r="C33" i="5"/>
  <c r="T56" i="13"/>
  <c r="U59" i="13"/>
  <c r="U60" i="13" s="1"/>
  <c r="T34" i="13"/>
  <c r="T35" i="13" s="1"/>
  <c r="W41" i="13"/>
  <c r="T59" i="13"/>
  <c r="T60" i="13" s="1"/>
  <c r="E72" i="8"/>
  <c r="C77" i="8"/>
  <c r="G58" i="11"/>
  <c r="T12" i="13"/>
  <c r="R10" i="5"/>
  <c r="T37" i="13"/>
  <c r="S22" i="13"/>
  <c r="Q10" i="5"/>
  <c r="S36" i="8"/>
  <c r="A92" i="16"/>
  <c r="A90" i="16"/>
  <c r="A91" i="16" s="1"/>
  <c r="D33" i="14"/>
  <c r="D33" i="15"/>
  <c r="N36" i="8"/>
  <c r="Q8" i="14"/>
  <c r="Q8" i="15"/>
  <c r="O8" i="5"/>
  <c r="O8" i="14"/>
  <c r="O11" i="14" s="1"/>
  <c r="O13" i="14" s="1"/>
  <c r="O8" i="15"/>
  <c r="O11" i="15" s="1"/>
  <c r="O13" i="15" s="1"/>
  <c r="G8" i="5"/>
  <c r="G8" i="14"/>
  <c r="G11" i="14" s="1"/>
  <c r="G13" i="14" s="1"/>
  <c r="G8" i="15"/>
  <c r="G11" i="15" s="1"/>
  <c r="G13" i="15" s="1"/>
  <c r="S8" i="5"/>
  <c r="S8" i="14"/>
  <c r="S11" i="14" s="1"/>
  <c r="S13" i="14" s="1"/>
  <c r="S8" i="15"/>
  <c r="S11" i="15" s="1"/>
  <c r="S13" i="15" s="1"/>
  <c r="L8" i="5"/>
  <c r="L8" i="15"/>
  <c r="L8" i="14"/>
  <c r="U8" i="5"/>
  <c r="U8" i="14"/>
  <c r="U11" i="14" s="1"/>
  <c r="U13" i="14" s="1"/>
  <c r="U8" i="15"/>
  <c r="U11" i="15" s="1"/>
  <c r="U13" i="15" s="1"/>
  <c r="H8" i="5"/>
  <c r="H8" i="15"/>
  <c r="H11" i="15" s="1"/>
  <c r="H13" i="15" s="1"/>
  <c r="H8" i="14"/>
  <c r="H11" i="14" s="1"/>
  <c r="H13" i="14" s="1"/>
  <c r="Q17" i="5"/>
  <c r="Q17" i="14"/>
  <c r="Q17" i="15"/>
  <c r="T8" i="5"/>
  <c r="T8" i="15"/>
  <c r="T11" i="15" s="1"/>
  <c r="T13" i="15" s="1"/>
  <c r="T8" i="14"/>
  <c r="T11" i="14" s="1"/>
  <c r="T13" i="14" s="1"/>
  <c r="N17" i="15"/>
  <c r="N20" i="15" s="1"/>
  <c r="N22" i="15" s="1"/>
  <c r="N17" i="14"/>
  <c r="N20" i="14" s="1"/>
  <c r="N22" i="14" s="1"/>
  <c r="F8" i="5"/>
  <c r="F8" i="15"/>
  <c r="F11" i="15" s="1"/>
  <c r="F13" i="15" s="1"/>
  <c r="F8" i="14"/>
  <c r="F11" i="14" s="1"/>
  <c r="F13" i="14" s="1"/>
  <c r="I8" i="5"/>
  <c r="I8" i="14"/>
  <c r="I11" i="14" s="1"/>
  <c r="I13" i="14" s="1"/>
  <c r="I8" i="15"/>
  <c r="I11" i="15" s="1"/>
  <c r="I13" i="15" s="1"/>
  <c r="K8" i="14"/>
  <c r="K11" i="14" s="1"/>
  <c r="K13" i="14" s="1"/>
  <c r="K8" i="15"/>
  <c r="K11" i="15" s="1"/>
  <c r="K13" i="15" s="1"/>
  <c r="C33" i="15"/>
  <c r="E11" i="14"/>
  <c r="D39" i="15"/>
  <c r="R20" i="14"/>
  <c r="R22" i="14" s="1"/>
  <c r="C39" i="14"/>
  <c r="AD9" i="15"/>
  <c r="AD11" i="15" s="1"/>
  <c r="AD13" i="15" s="1"/>
  <c r="AD9" i="14"/>
  <c r="AD11" i="14" s="1"/>
  <c r="AD13" i="14" s="1"/>
  <c r="I17" i="14"/>
  <c r="I20" i="14" s="1"/>
  <c r="I22" i="14" s="1"/>
  <c r="I17" i="15"/>
  <c r="I20" i="15" s="1"/>
  <c r="I22" i="15" s="1"/>
  <c r="M36" i="8"/>
  <c r="L17" i="15"/>
  <c r="L17" i="14"/>
  <c r="O17" i="5"/>
  <c r="D32" i="5" s="1"/>
  <c r="O17" i="14"/>
  <c r="O20" i="14" s="1"/>
  <c r="O22" i="14" s="1"/>
  <c r="O17" i="15"/>
  <c r="O20" i="15" s="1"/>
  <c r="O22" i="15" s="1"/>
  <c r="N8" i="15"/>
  <c r="N11" i="15" s="1"/>
  <c r="N13" i="15" s="1"/>
  <c r="N8" i="14"/>
  <c r="N11" i="14" s="1"/>
  <c r="N13" i="14" s="1"/>
  <c r="V36" i="8"/>
  <c r="U17" i="14"/>
  <c r="U20" i="14" s="1"/>
  <c r="U22" i="14" s="1"/>
  <c r="U17" i="15"/>
  <c r="U20" i="15" s="1"/>
  <c r="U22" i="15" s="1"/>
  <c r="K17" i="14"/>
  <c r="K20" i="14" s="1"/>
  <c r="K22" i="14" s="1"/>
  <c r="K17" i="15"/>
  <c r="K20" i="15" s="1"/>
  <c r="K22" i="15" s="1"/>
  <c r="AE44" i="8"/>
  <c r="AF44" i="8" s="1"/>
  <c r="AC18" i="14"/>
  <c r="AC18" i="15"/>
  <c r="AC20" i="15" s="1"/>
  <c r="AC22" i="15" s="1"/>
  <c r="G17" i="5"/>
  <c r="G17" i="14"/>
  <c r="G20" i="14" s="1"/>
  <c r="G22" i="14" s="1"/>
  <c r="G17" i="15"/>
  <c r="G20" i="15" s="1"/>
  <c r="G22" i="15" s="1"/>
  <c r="H17" i="15"/>
  <c r="H20" i="15" s="1"/>
  <c r="H22" i="15" s="1"/>
  <c r="H17" i="14"/>
  <c r="H20" i="14" s="1"/>
  <c r="H22" i="14" s="1"/>
  <c r="J17" i="5"/>
  <c r="J17" i="15"/>
  <c r="J20" i="15" s="1"/>
  <c r="J22" i="15" s="1"/>
  <c r="J17" i="14"/>
  <c r="J20" i="14" s="1"/>
  <c r="J22" i="14" s="1"/>
  <c r="R8" i="5"/>
  <c r="R8" i="15"/>
  <c r="R11" i="15" s="1"/>
  <c r="R13" i="15" s="1"/>
  <c r="R8" i="14"/>
  <c r="R11" i="14" s="1"/>
  <c r="R13" i="14" s="1"/>
  <c r="J8" i="5"/>
  <c r="J8" i="15"/>
  <c r="J11" i="15" s="1"/>
  <c r="J13" i="15" s="1"/>
  <c r="J8" i="14"/>
  <c r="J11" i="14" s="1"/>
  <c r="J13" i="14" s="1"/>
  <c r="M17" i="14"/>
  <c r="M20" i="14" s="1"/>
  <c r="M22" i="14" s="1"/>
  <c r="M17" i="15"/>
  <c r="M20" i="15" s="1"/>
  <c r="M22" i="15" s="1"/>
  <c r="T17" i="15"/>
  <c r="T20" i="15" s="1"/>
  <c r="T22" i="15" s="1"/>
  <c r="T17" i="14"/>
  <c r="T20" i="14" s="1"/>
  <c r="T22" i="14" s="1"/>
  <c r="M8" i="14"/>
  <c r="M11" i="14" s="1"/>
  <c r="M13" i="14" s="1"/>
  <c r="M8" i="15"/>
  <c r="M11" i="15" s="1"/>
  <c r="M13" i="15" s="1"/>
  <c r="P8" i="15"/>
  <c r="P11" i="15" s="1"/>
  <c r="P13" i="15" s="1"/>
  <c r="P8" i="14"/>
  <c r="P11" i="14" s="1"/>
  <c r="P13" i="14" s="1"/>
  <c r="P17" i="15"/>
  <c r="P20" i="15" s="1"/>
  <c r="P22" i="15" s="1"/>
  <c r="P17" i="14"/>
  <c r="P20" i="14" s="1"/>
  <c r="P22" i="14" s="1"/>
  <c r="F17" i="15"/>
  <c r="F20" i="15" s="1"/>
  <c r="F22" i="15" s="1"/>
  <c r="F17" i="14"/>
  <c r="F20" i="14" s="1"/>
  <c r="F22" i="14" s="1"/>
  <c r="S17" i="14"/>
  <c r="S20" i="14" s="1"/>
  <c r="S22" i="14" s="1"/>
  <c r="S17" i="15"/>
  <c r="S20" i="15" s="1"/>
  <c r="S22" i="15" s="1"/>
  <c r="C33" i="14"/>
  <c r="E11" i="15"/>
  <c r="D39" i="14"/>
  <c r="R20" i="15"/>
  <c r="R22" i="15" s="1"/>
  <c r="C39" i="15"/>
  <c r="L36" i="8"/>
  <c r="G36" i="8"/>
  <c r="J36" i="8"/>
  <c r="T22" i="13"/>
  <c r="I36" i="8"/>
  <c r="S37" i="13"/>
  <c r="S56" i="13"/>
  <c r="S59" i="13"/>
  <c r="S60" i="13" s="1"/>
  <c r="S12" i="13"/>
  <c r="S34" i="13"/>
  <c r="S35" i="13" s="1"/>
  <c r="S31" i="13"/>
  <c r="W21" i="13"/>
  <c r="W26" i="13" s="1"/>
  <c r="W16" i="13"/>
  <c r="X8" i="13"/>
  <c r="W46" i="13"/>
  <c r="W51" i="13" s="1"/>
  <c r="W19" i="13"/>
  <c r="W14" i="13"/>
  <c r="X7" i="13"/>
  <c r="X14" i="13" s="1"/>
  <c r="W44" i="13"/>
  <c r="W39" i="13"/>
  <c r="V24" i="13"/>
  <c r="V23" i="13" s="1"/>
  <c r="V18" i="13"/>
  <c r="V38" i="13"/>
  <c r="W20" i="13"/>
  <c r="W25" i="13" s="1"/>
  <c r="W15" i="13"/>
  <c r="X9" i="13"/>
  <c r="W40" i="13"/>
  <c r="W45" i="13"/>
  <c r="W50" i="13" s="1"/>
  <c r="V43" i="13"/>
  <c r="V49" i="13"/>
  <c r="V48" i="13" s="1"/>
  <c r="V53" i="13" s="1"/>
  <c r="V13" i="13"/>
  <c r="R36" i="8"/>
  <c r="Q8" i="5"/>
  <c r="U17" i="5"/>
  <c r="D38" i="5" s="1"/>
  <c r="U36" i="8"/>
  <c r="AC18" i="5"/>
  <c r="T36" i="8"/>
  <c r="AD45" i="8"/>
  <c r="H17" i="5"/>
  <c r="L17" i="5"/>
  <c r="H36" i="8"/>
  <c r="D37" i="8"/>
  <c r="K36" i="8"/>
  <c r="N8" i="5"/>
  <c r="D18" i="8"/>
  <c r="D15" i="8"/>
  <c r="D27" i="8"/>
  <c r="K17" i="5"/>
  <c r="P36" i="8"/>
  <c r="D24" i="8"/>
  <c r="I17" i="5"/>
  <c r="AF43" i="8"/>
  <c r="AD9" i="5"/>
  <c r="V28" i="13" l="1"/>
  <c r="C38" i="5"/>
  <c r="C32" i="5"/>
  <c r="C26" i="5"/>
  <c r="U37" i="13"/>
  <c r="U56" i="13"/>
  <c r="S19" i="5"/>
  <c r="X41" i="13"/>
  <c r="E77" i="8"/>
  <c r="E33" i="5"/>
  <c r="D36" i="8"/>
  <c r="D47" i="8" s="1"/>
  <c r="AE45" i="8"/>
  <c r="AD18" i="5"/>
  <c r="U12" i="13"/>
  <c r="S10" i="5"/>
  <c r="E33" i="15"/>
  <c r="A95" i="16"/>
  <c r="A93" i="16"/>
  <c r="A94" i="16" s="1"/>
  <c r="E39" i="15"/>
  <c r="E39" i="5"/>
  <c r="C26" i="15"/>
  <c r="E33" i="14"/>
  <c r="C45" i="15"/>
  <c r="C52" i="15" s="1"/>
  <c r="AG43" i="8"/>
  <c r="AE9" i="14"/>
  <c r="AE9" i="15"/>
  <c r="AE11" i="15" s="1"/>
  <c r="AE13" i="15" s="1"/>
  <c r="AE18" i="14"/>
  <c r="AE20" i="14" s="1"/>
  <c r="AE22" i="14" s="1"/>
  <c r="AE18" i="15"/>
  <c r="AE20" i="15" s="1"/>
  <c r="AE22" i="15" s="1"/>
  <c r="AC20" i="14"/>
  <c r="AC22" i="14" s="1"/>
  <c r="D32" i="14"/>
  <c r="L20" i="14"/>
  <c r="Q20" i="15"/>
  <c r="D38" i="15"/>
  <c r="C32" i="15"/>
  <c r="L11" i="15"/>
  <c r="C38" i="14"/>
  <c r="Q11" i="14"/>
  <c r="C26" i="14"/>
  <c r="E13" i="15"/>
  <c r="C29" i="15"/>
  <c r="AD18" i="15"/>
  <c r="AD20" i="15" s="1"/>
  <c r="AD22" i="15" s="1"/>
  <c r="AD18" i="14"/>
  <c r="AD20" i="14" s="1"/>
  <c r="AD22" i="14" s="1"/>
  <c r="D32" i="15"/>
  <c r="L20" i="15"/>
  <c r="E13" i="14"/>
  <c r="C29" i="14"/>
  <c r="Q20" i="14"/>
  <c r="D38" i="14"/>
  <c r="C32" i="14"/>
  <c r="L11" i="14"/>
  <c r="C38" i="15"/>
  <c r="Q11" i="15"/>
  <c r="E39" i="14"/>
  <c r="C45" i="14"/>
  <c r="V56" i="13"/>
  <c r="U31" i="13"/>
  <c r="U22" i="13"/>
  <c r="D49" i="11"/>
  <c r="E49" i="11" s="1"/>
  <c r="X19" i="13"/>
  <c r="Y7" i="13"/>
  <c r="X44" i="13"/>
  <c r="X39" i="13"/>
  <c r="W24" i="13"/>
  <c r="W23" i="13" s="1"/>
  <c r="W18" i="13"/>
  <c r="X21" i="13"/>
  <c r="X26" i="13" s="1"/>
  <c r="X16" i="13"/>
  <c r="Y8" i="13"/>
  <c r="X46" i="13"/>
  <c r="X51" i="13" s="1"/>
  <c r="W38" i="13"/>
  <c r="X20" i="13"/>
  <c r="X25" i="13" s="1"/>
  <c r="X15" i="13"/>
  <c r="Y9" i="13"/>
  <c r="X45" i="13"/>
  <c r="X50" i="13" s="1"/>
  <c r="X40" i="13"/>
  <c r="W49" i="13"/>
  <c r="W48" i="13" s="1"/>
  <c r="W53" i="13" s="1"/>
  <c r="W43" i="13"/>
  <c r="W13" i="13"/>
  <c r="AE9" i="5"/>
  <c r="AF45" i="8"/>
  <c r="AG44" i="8"/>
  <c r="AE18" i="5"/>
  <c r="E58" i="8"/>
  <c r="W28" i="13" l="1"/>
  <c r="X13" i="13"/>
  <c r="D34" i="5"/>
  <c r="C34" i="5"/>
  <c r="V59" i="13"/>
  <c r="V60" i="13" s="1"/>
  <c r="Y41" i="13"/>
  <c r="U19" i="5"/>
  <c r="V12" i="13"/>
  <c r="T10" i="5"/>
  <c r="V37" i="13"/>
  <c r="T19" i="5"/>
  <c r="E38" i="5"/>
  <c r="E32" i="5"/>
  <c r="A98" i="16"/>
  <c r="A96" i="16"/>
  <c r="A97" i="16" s="1"/>
  <c r="E38" i="14"/>
  <c r="E32" i="14"/>
  <c r="AH44" i="8"/>
  <c r="AG18" i="5" s="1"/>
  <c r="AF18" i="15"/>
  <c r="AF20" i="15" s="1"/>
  <c r="AF22" i="15" s="1"/>
  <c r="AF18" i="14"/>
  <c r="AF20" i="14" s="1"/>
  <c r="AF22" i="14" s="1"/>
  <c r="Q22" i="14"/>
  <c r="D41" i="14"/>
  <c r="L22" i="15"/>
  <c r="D35" i="15"/>
  <c r="C41" i="14"/>
  <c r="Q13" i="14"/>
  <c r="L13" i="15"/>
  <c r="C35" i="15"/>
  <c r="AH43" i="8"/>
  <c r="AF9" i="15"/>
  <c r="AF9" i="14"/>
  <c r="AF11" i="14" s="1"/>
  <c r="AF13" i="14" s="1"/>
  <c r="E38" i="15"/>
  <c r="C52" i="14"/>
  <c r="C41" i="15"/>
  <c r="Q13" i="15"/>
  <c r="L13" i="14"/>
  <c r="C35" i="14"/>
  <c r="D41" i="15"/>
  <c r="Q22" i="15"/>
  <c r="L22" i="14"/>
  <c r="D35" i="14"/>
  <c r="AE11" i="14"/>
  <c r="AE13" i="14" s="1"/>
  <c r="E32" i="15"/>
  <c r="V22" i="13"/>
  <c r="D50" i="11"/>
  <c r="V34" i="13"/>
  <c r="V35" i="13" s="1"/>
  <c r="V31" i="13"/>
  <c r="Y20" i="13"/>
  <c r="Y25" i="13" s="1"/>
  <c r="Y15" i="13"/>
  <c r="Z9" i="13"/>
  <c r="Y40" i="13"/>
  <c r="Y45" i="13"/>
  <c r="Y50" i="13" s="1"/>
  <c r="Y19" i="13"/>
  <c r="Y14" i="13"/>
  <c r="Z7" i="13"/>
  <c r="Y44" i="13"/>
  <c r="Y39" i="13"/>
  <c r="X24" i="13"/>
  <c r="X18" i="13"/>
  <c r="X38" i="13"/>
  <c r="AN40" i="13" s="1"/>
  <c r="Y21" i="13"/>
  <c r="Y26" i="13" s="1"/>
  <c r="Y16" i="13"/>
  <c r="Z8" i="13"/>
  <c r="Y46" i="13"/>
  <c r="Y51" i="13" s="1"/>
  <c r="X43" i="13"/>
  <c r="X49" i="13"/>
  <c r="AF18" i="5"/>
  <c r="AG45" i="8"/>
  <c r="AF9" i="5"/>
  <c r="E59" i="8"/>
  <c r="E62" i="8" s="1"/>
  <c r="AN15" i="13" l="1"/>
  <c r="W56" i="13"/>
  <c r="Z41" i="13"/>
  <c r="W59" i="13"/>
  <c r="W60" i="13" s="1"/>
  <c r="W37" i="13"/>
  <c r="Y38" i="13"/>
  <c r="W12" i="13"/>
  <c r="U10" i="5"/>
  <c r="E35" i="15"/>
  <c r="AI44" i="8"/>
  <c r="AH18" i="15" s="1"/>
  <c r="AH20" i="15" s="1"/>
  <c r="AH22" i="15" s="1"/>
  <c r="AN14" i="13"/>
  <c r="AN16" i="13"/>
  <c r="A101" i="16"/>
  <c r="A99" i="16"/>
  <c r="A100" i="16" s="1"/>
  <c r="AH45" i="8"/>
  <c r="E41" i="14"/>
  <c r="AF11" i="15"/>
  <c r="AG18" i="14"/>
  <c r="AG18" i="15"/>
  <c r="E35" i="14"/>
  <c r="AG9" i="5"/>
  <c r="AG9" i="14"/>
  <c r="AG9" i="15"/>
  <c r="AG11" i="15" s="1"/>
  <c r="AG13" i="15" s="1"/>
  <c r="AI43" i="8"/>
  <c r="E41" i="15"/>
  <c r="AN39" i="13"/>
  <c r="X48" i="13"/>
  <c r="AN41" i="13"/>
  <c r="X23" i="13"/>
  <c r="X28" i="13" s="1"/>
  <c r="W22" i="13"/>
  <c r="E50" i="11"/>
  <c r="E53" i="11" s="1"/>
  <c r="D53" i="11"/>
  <c r="W34" i="13"/>
  <c r="W35" i="13" s="1"/>
  <c r="W31" i="13"/>
  <c r="Y49" i="13"/>
  <c r="Y48" i="13" s="1"/>
  <c r="Y43" i="13"/>
  <c r="Z20" i="13"/>
  <c r="Z25" i="13" s="1"/>
  <c r="Z15" i="13"/>
  <c r="AA9" i="13"/>
  <c r="Z40" i="13"/>
  <c r="Z45" i="13"/>
  <c r="Z50" i="13" s="1"/>
  <c r="Y13" i="13"/>
  <c r="Z21" i="13"/>
  <c r="Z26" i="13" s="1"/>
  <c r="Z16" i="13"/>
  <c r="AA8" i="13"/>
  <c r="Z46" i="13"/>
  <c r="Z51" i="13" s="1"/>
  <c r="Z19" i="13"/>
  <c r="Z14" i="13"/>
  <c r="AA7" i="13"/>
  <c r="Z44" i="13"/>
  <c r="Z39" i="13"/>
  <c r="Y24" i="13"/>
  <c r="Y23" i="13" s="1"/>
  <c r="Y18" i="13"/>
  <c r="F6" i="3"/>
  <c r="G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  <c r="Z38" i="13" l="1"/>
  <c r="Y53" i="13"/>
  <c r="Y37" i="13" s="1"/>
  <c r="AN49" i="13"/>
  <c r="X53" i="13"/>
  <c r="V19" i="5" s="1"/>
  <c r="Y28" i="13"/>
  <c r="AN24" i="13"/>
  <c r="AA41" i="13"/>
  <c r="Z13" i="13"/>
  <c r="X31" i="13"/>
  <c r="AH18" i="14"/>
  <c r="AH20" i="14" s="1"/>
  <c r="AH22" i="14" s="1"/>
  <c r="D44" i="8"/>
  <c r="AH18" i="5"/>
  <c r="AH20" i="5" s="1"/>
  <c r="AH22" i="5" s="1"/>
  <c r="A104" i="16"/>
  <c r="A102" i="16"/>
  <c r="A103" i="16" s="1"/>
  <c r="C45" i="5"/>
  <c r="AG20" i="14"/>
  <c r="AF13" i="15"/>
  <c r="AH9" i="5"/>
  <c r="AH9" i="15"/>
  <c r="AH11" i="15" s="1"/>
  <c r="AH13" i="15" s="1"/>
  <c r="AH9" i="14"/>
  <c r="AH11" i="14" s="1"/>
  <c r="AH13" i="14" s="1"/>
  <c r="AI45" i="8"/>
  <c r="D45" i="8" s="1"/>
  <c r="D43" i="8"/>
  <c r="AG11" i="14"/>
  <c r="AG20" i="15"/>
  <c r="D46" i="15"/>
  <c r="D53" i="15" s="1"/>
  <c r="C46" i="15"/>
  <c r="AN51" i="13"/>
  <c r="AN50" i="13"/>
  <c r="Y31" i="13"/>
  <c r="AN25" i="13"/>
  <c r="AN26" i="13"/>
  <c r="Z43" i="13"/>
  <c r="Z49" i="13"/>
  <c r="Z48" i="13" s="1"/>
  <c r="Z53" i="13" s="1"/>
  <c r="AA20" i="13"/>
  <c r="AA25" i="13" s="1"/>
  <c r="AA15" i="13"/>
  <c r="AB9" i="13"/>
  <c r="AA40" i="13"/>
  <c r="AA45" i="13"/>
  <c r="AA50" i="13" s="1"/>
  <c r="AA19" i="13"/>
  <c r="AA14" i="13"/>
  <c r="AB7" i="13"/>
  <c r="AA44" i="13"/>
  <c r="AA39" i="13"/>
  <c r="Z24" i="13"/>
  <c r="Z23" i="13" s="1"/>
  <c r="Z18" i="13"/>
  <c r="AA21" i="13"/>
  <c r="AA26" i="13" s="1"/>
  <c r="AA16" i="13"/>
  <c r="AB8" i="13"/>
  <c r="AA46" i="13"/>
  <c r="AA51" i="13" s="1"/>
  <c r="U20" i="5"/>
  <c r="U22" i="5" s="1"/>
  <c r="P20" i="5"/>
  <c r="P22" i="5" s="1"/>
  <c r="K20" i="5"/>
  <c r="K22" i="5" s="1"/>
  <c r="G12" i="3"/>
  <c r="F12" i="3"/>
  <c r="E12" i="3"/>
  <c r="C46" i="14" l="1"/>
  <c r="AH11" i="5"/>
  <c r="AH13" i="5" s="1"/>
  <c r="Z28" i="13"/>
  <c r="Z31" i="13" s="1"/>
  <c r="C52" i="5"/>
  <c r="AA38" i="13"/>
  <c r="Y59" i="13"/>
  <c r="Y60" i="13" s="1"/>
  <c r="Y56" i="13"/>
  <c r="W19" i="5"/>
  <c r="C46" i="5"/>
  <c r="C53" i="5" s="1"/>
  <c r="D46" i="14"/>
  <c r="D53" i="14" s="1"/>
  <c r="Z37" i="13"/>
  <c r="X19" i="5"/>
  <c r="X22" i="13"/>
  <c r="Y12" i="13"/>
  <c r="W10" i="5"/>
  <c r="X12" i="13"/>
  <c r="V10" i="5"/>
  <c r="X34" i="13"/>
  <c r="X35" i="13" s="1"/>
  <c r="AA13" i="13"/>
  <c r="A107" i="16"/>
  <c r="A105" i="16"/>
  <c r="A106" i="16" s="1"/>
  <c r="C53" i="14"/>
  <c r="AG22" i="14"/>
  <c r="C53" i="15"/>
  <c r="E46" i="15"/>
  <c r="E53" i="15" s="1"/>
  <c r="AG22" i="15"/>
  <c r="AG13" i="14"/>
  <c r="C44" i="14"/>
  <c r="C44" i="15"/>
  <c r="D20" i="5"/>
  <c r="D22" i="5" s="1"/>
  <c r="Y34" i="13"/>
  <c r="Y35" i="13" s="1"/>
  <c r="Y22" i="13"/>
  <c r="X59" i="13"/>
  <c r="X60" i="13" s="1"/>
  <c r="X37" i="13"/>
  <c r="X56" i="13"/>
  <c r="AB19" i="13"/>
  <c r="AB14" i="13"/>
  <c r="AC7" i="13"/>
  <c r="AB44" i="13"/>
  <c r="AB39" i="13"/>
  <c r="AA24" i="13"/>
  <c r="AA23" i="13" s="1"/>
  <c r="AA18" i="13"/>
  <c r="AB20" i="13"/>
  <c r="AB25" i="13" s="1"/>
  <c r="AB15" i="13"/>
  <c r="AC9" i="13"/>
  <c r="AB45" i="13"/>
  <c r="AB50" i="13" s="1"/>
  <c r="AB40" i="13"/>
  <c r="AB21" i="13"/>
  <c r="AB26" i="13" s="1"/>
  <c r="AB16" i="13"/>
  <c r="AC8" i="13"/>
  <c r="AB46" i="13"/>
  <c r="AB51" i="13" s="1"/>
  <c r="AA49" i="13"/>
  <c r="AA48" i="13" s="1"/>
  <c r="AA53" i="13" s="1"/>
  <c r="AA43" i="13"/>
  <c r="Z59" i="13"/>
  <c r="Z60" i="13" s="1"/>
  <c r="Z56" i="13"/>
  <c r="AB41" i="13"/>
  <c r="AC41" i="13" s="1"/>
  <c r="D46" i="5"/>
  <c r="D53" i="5" s="1"/>
  <c r="F11" i="3"/>
  <c r="F13" i="3" s="1"/>
  <c r="E11" i="3"/>
  <c r="E13" i="3" s="1"/>
  <c r="G10" i="3"/>
  <c r="F10" i="3"/>
  <c r="E10" i="3"/>
  <c r="AA28" i="13" l="1"/>
  <c r="E46" i="14"/>
  <c r="E53" i="14" s="1"/>
  <c r="AA37" i="13"/>
  <c r="Y19" i="5"/>
  <c r="D40" i="5" s="1"/>
  <c r="Z12" i="13"/>
  <c r="X10" i="5"/>
  <c r="A110" i="16"/>
  <c r="A108" i="16"/>
  <c r="A109" i="16" s="1"/>
  <c r="Z34" i="13"/>
  <c r="Z35" i="13" s="1"/>
  <c r="C51" i="15"/>
  <c r="C51" i="14"/>
  <c r="Z22" i="13"/>
  <c r="AA34" i="13"/>
  <c r="AA35" i="13" s="1"/>
  <c r="AA59" i="13"/>
  <c r="AA60" i="13" s="1"/>
  <c r="AA56" i="13"/>
  <c r="AC21" i="13"/>
  <c r="AC26" i="13" s="1"/>
  <c r="AC16" i="13"/>
  <c r="AD8" i="13"/>
  <c r="AD41" i="13" s="1"/>
  <c r="AC46" i="13"/>
  <c r="AC51" i="13" s="1"/>
  <c r="AC19" i="13"/>
  <c r="AC14" i="13"/>
  <c r="AD7" i="13"/>
  <c r="AC44" i="13"/>
  <c r="AC39" i="13"/>
  <c r="AB24" i="13"/>
  <c r="AB23" i="13" s="1"/>
  <c r="AB18" i="13"/>
  <c r="AB38" i="13"/>
  <c r="AC20" i="13"/>
  <c r="AC25" i="13" s="1"/>
  <c r="AC15" i="13"/>
  <c r="AD9" i="13"/>
  <c r="AC40" i="13"/>
  <c r="AC45" i="13"/>
  <c r="AC50" i="13" s="1"/>
  <c r="AA31" i="13"/>
  <c r="AB43" i="13"/>
  <c r="AB49" i="13"/>
  <c r="AB48" i="13" s="1"/>
  <c r="AB13" i="13"/>
  <c r="AB28" i="13" s="1"/>
  <c r="E16" i="3"/>
  <c r="E14" i="3"/>
  <c r="E18" i="3"/>
  <c r="E17" i="3"/>
  <c r="E15" i="3"/>
  <c r="E19" i="3"/>
  <c r="F66" i="4"/>
  <c r="E66" i="4"/>
  <c r="K64" i="4"/>
  <c r="G63" i="4"/>
  <c r="H63" i="4" s="1"/>
  <c r="I63" i="4" s="1"/>
  <c r="J63" i="4" s="1"/>
  <c r="K63" i="4" s="1"/>
  <c r="L63" i="4" s="1"/>
  <c r="M63" i="4" s="1"/>
  <c r="N63" i="4" s="1"/>
  <c r="O63" i="4" s="1"/>
  <c r="P63" i="4" s="1"/>
  <c r="Q63" i="4" s="1"/>
  <c r="R63" i="4" s="1"/>
  <c r="S63" i="4" s="1"/>
  <c r="T63" i="4" s="1"/>
  <c r="U63" i="4" s="1"/>
  <c r="V63" i="4" s="1"/>
  <c r="W63" i="4" s="1"/>
  <c r="X63" i="4" s="1"/>
  <c r="Y63" i="4" s="1"/>
  <c r="Z63" i="4" s="1"/>
  <c r="AA63" i="4" s="1"/>
  <c r="AB63" i="4" s="1"/>
  <c r="AC63" i="4" s="1"/>
  <c r="AD63" i="4" s="1"/>
  <c r="AE63" i="4" s="1"/>
  <c r="AF63" i="4" s="1"/>
  <c r="AG63" i="4" s="1"/>
  <c r="AH63" i="4" s="1"/>
  <c r="AI63" i="4" s="1"/>
  <c r="G58" i="4"/>
  <c r="G66" i="4" s="1"/>
  <c r="L39" i="7" l="1"/>
  <c r="L64" i="7"/>
  <c r="AB53" i="13"/>
  <c r="Z19" i="5" s="1"/>
  <c r="Z20" i="5" s="1"/>
  <c r="Z22" i="5" s="1"/>
  <c r="AA12" i="13"/>
  <c r="Y10" i="5"/>
  <c r="C40" i="5" s="1"/>
  <c r="E40" i="5" s="1"/>
  <c r="A113" i="16"/>
  <c r="A111" i="16"/>
  <c r="A112" i="16" s="1"/>
  <c r="AA22" i="13"/>
  <c r="AD19" i="13"/>
  <c r="AD14" i="13"/>
  <c r="AE7" i="13"/>
  <c r="AD44" i="13"/>
  <c r="AD39" i="13"/>
  <c r="AC24" i="13"/>
  <c r="AC18" i="13"/>
  <c r="AD21" i="13"/>
  <c r="AD26" i="13" s="1"/>
  <c r="AD16" i="13"/>
  <c r="AE8" i="13"/>
  <c r="AD46" i="13"/>
  <c r="AD51" i="13" s="1"/>
  <c r="AC38" i="13"/>
  <c r="AD20" i="13"/>
  <c r="AD25" i="13" s="1"/>
  <c r="AD15" i="13"/>
  <c r="AE9" i="13"/>
  <c r="AD40" i="13"/>
  <c r="AD45" i="13"/>
  <c r="AD50" i="13" s="1"/>
  <c r="AC49" i="13"/>
  <c r="AC43" i="13"/>
  <c r="AE41" i="13"/>
  <c r="AC13" i="13"/>
  <c r="G11" i="3"/>
  <c r="G13" i="3" s="1"/>
  <c r="L64" i="4"/>
  <c r="E46" i="5"/>
  <c r="E53" i="5" s="1"/>
  <c r="H61" i="4"/>
  <c r="G59" i="4"/>
  <c r="E22" i="3"/>
  <c r="F19" i="3"/>
  <c r="E20" i="3"/>
  <c r="F17" i="3"/>
  <c r="E23" i="3"/>
  <c r="F14" i="3"/>
  <c r="E24" i="3"/>
  <c r="F15" i="3"/>
  <c r="F18" i="3"/>
  <c r="E21" i="3"/>
  <c r="E25" i="3"/>
  <c r="F16" i="3"/>
  <c r="H58" i="4"/>
  <c r="I58" i="4"/>
  <c r="I59" i="4" s="1"/>
  <c r="M39" i="7" l="1"/>
  <c r="M64" i="7"/>
  <c r="AB37" i="13"/>
  <c r="AB56" i="13"/>
  <c r="AB59" i="13"/>
  <c r="AB60" i="13" s="1"/>
  <c r="AO16" i="13"/>
  <c r="AB12" i="13"/>
  <c r="Z10" i="5"/>
  <c r="AO15" i="13"/>
  <c r="AO14" i="13"/>
  <c r="A116" i="16"/>
  <c r="A114" i="16"/>
  <c r="A115" i="16" s="1"/>
  <c r="AC48" i="13"/>
  <c r="AO41" i="13"/>
  <c r="AO39" i="13"/>
  <c r="AO40" i="13"/>
  <c r="AC23" i="13"/>
  <c r="AO24" i="13" s="1"/>
  <c r="AB22" i="13"/>
  <c r="AB34" i="13"/>
  <c r="AB35" i="13" s="1"/>
  <c r="AB31" i="13"/>
  <c r="AE20" i="13"/>
  <c r="AE25" i="13" s="1"/>
  <c r="AE15" i="13"/>
  <c r="AF9" i="13"/>
  <c r="AE40" i="13"/>
  <c r="AE45" i="13"/>
  <c r="AE50" i="13" s="1"/>
  <c r="AE19" i="13"/>
  <c r="AE14" i="13"/>
  <c r="AF7" i="13"/>
  <c r="AE44" i="13"/>
  <c r="AE39" i="13"/>
  <c r="AD24" i="13"/>
  <c r="AD23" i="13" s="1"/>
  <c r="AD18" i="13"/>
  <c r="AD38" i="13"/>
  <c r="AE21" i="13"/>
  <c r="AE26" i="13" s="1"/>
  <c r="AE16" i="13"/>
  <c r="AF8" i="13"/>
  <c r="AE46" i="13"/>
  <c r="AE51" i="13" s="1"/>
  <c r="AD43" i="13"/>
  <c r="AD49" i="13"/>
  <c r="AD48" i="13" s="1"/>
  <c r="AD53" i="13" s="1"/>
  <c r="AF41" i="13"/>
  <c r="AD13" i="13"/>
  <c r="I61" i="4"/>
  <c r="M64" i="4"/>
  <c r="H66" i="4"/>
  <c r="H59" i="4"/>
  <c r="F25" i="3"/>
  <c r="G16" i="3"/>
  <c r="F24" i="3"/>
  <c r="G15" i="3"/>
  <c r="F23" i="3"/>
  <c r="G14" i="3"/>
  <c r="G17" i="3"/>
  <c r="F20" i="3"/>
  <c r="G19" i="3"/>
  <c r="F22" i="3"/>
  <c r="G18" i="3"/>
  <c r="F21" i="3"/>
  <c r="I66" i="4"/>
  <c r="J58" i="4"/>
  <c r="J59" i="4" s="1"/>
  <c r="N39" i="7" l="1"/>
  <c r="N64" i="7"/>
  <c r="AD28" i="13"/>
  <c r="AO49" i="13"/>
  <c r="AC53" i="13"/>
  <c r="AA19" i="5" s="1"/>
  <c r="AC28" i="13"/>
  <c r="AC12" i="13" s="1"/>
  <c r="AE38" i="13"/>
  <c r="AB19" i="5"/>
  <c r="A119" i="16"/>
  <c r="A117" i="16"/>
  <c r="A118" i="16" s="1"/>
  <c r="AO50" i="13"/>
  <c r="AO51" i="13"/>
  <c r="AO25" i="13"/>
  <c r="AO26" i="13"/>
  <c r="AE49" i="13"/>
  <c r="AE48" i="13" s="1"/>
  <c r="AE53" i="13" s="1"/>
  <c r="AE43" i="13"/>
  <c r="AF20" i="13"/>
  <c r="AF25" i="13" s="1"/>
  <c r="AF15" i="13"/>
  <c r="AG9" i="13"/>
  <c r="AF45" i="13"/>
  <c r="AF50" i="13" s="1"/>
  <c r="AF40" i="13"/>
  <c r="AE13" i="13"/>
  <c r="AF21" i="13"/>
  <c r="AF26" i="13" s="1"/>
  <c r="AF16" i="13"/>
  <c r="AG8" i="13"/>
  <c r="AG41" i="13" s="1"/>
  <c r="AF46" i="13"/>
  <c r="AF51" i="13" s="1"/>
  <c r="AF19" i="13"/>
  <c r="AF14" i="13"/>
  <c r="AG7" i="13"/>
  <c r="AF44" i="13"/>
  <c r="AF39" i="13"/>
  <c r="AE24" i="13"/>
  <c r="AE23" i="13" s="1"/>
  <c r="AE18" i="13"/>
  <c r="J61" i="4"/>
  <c r="N64" i="4"/>
  <c r="G23" i="3"/>
  <c r="G24" i="3"/>
  <c r="G25" i="3"/>
  <c r="G21" i="3"/>
  <c r="G22" i="3"/>
  <c r="G20" i="3"/>
  <c r="J66" i="4"/>
  <c r="K58" i="4"/>
  <c r="K59" i="4" s="1"/>
  <c r="O39" i="7" l="1"/>
  <c r="O64" i="7"/>
  <c r="AC31" i="13"/>
  <c r="AC22" i="13"/>
  <c r="AA10" i="5"/>
  <c r="AC34" i="13"/>
  <c r="AC35" i="13" s="1"/>
  <c r="AE28" i="13"/>
  <c r="AE31" i="13" s="1"/>
  <c r="AD37" i="13"/>
  <c r="AF13" i="13"/>
  <c r="AE37" i="13"/>
  <c r="AC19" i="5"/>
  <c r="AD59" i="13"/>
  <c r="AD60" i="13" s="1"/>
  <c r="AD12" i="13"/>
  <c r="AB10" i="5"/>
  <c r="AD56" i="13"/>
  <c r="A122" i="16"/>
  <c r="A120" i="16"/>
  <c r="A121" i="16" s="1"/>
  <c r="AF38" i="13"/>
  <c r="AC56" i="13"/>
  <c r="AC37" i="13"/>
  <c r="AC59" i="13"/>
  <c r="AC60" i="13" s="1"/>
  <c r="AD22" i="13"/>
  <c r="AF43" i="13"/>
  <c r="AF49" i="13"/>
  <c r="AF48" i="13" s="1"/>
  <c r="AF53" i="13" s="1"/>
  <c r="AG20" i="13"/>
  <c r="AG25" i="13" s="1"/>
  <c r="AG15" i="13"/>
  <c r="AH9" i="13"/>
  <c r="AG40" i="13"/>
  <c r="AG45" i="13"/>
  <c r="AG50" i="13" s="1"/>
  <c r="AE59" i="13"/>
  <c r="AE60" i="13" s="1"/>
  <c r="AE56" i="13"/>
  <c r="AG19" i="13"/>
  <c r="AG14" i="13"/>
  <c r="AH7" i="13"/>
  <c r="AG44" i="13"/>
  <c r="AG39" i="13"/>
  <c r="AF24" i="13"/>
  <c r="AF23" i="13" s="1"/>
  <c r="AF18" i="13"/>
  <c r="AG21" i="13"/>
  <c r="AG26" i="13" s="1"/>
  <c r="AG16" i="13"/>
  <c r="AH8" i="13"/>
  <c r="AG46" i="13"/>
  <c r="AG51" i="13" s="1"/>
  <c r="AD34" i="13"/>
  <c r="AD35" i="13" s="1"/>
  <c r="AD31" i="13"/>
  <c r="K61" i="4"/>
  <c r="O64" i="4"/>
  <c r="K66" i="4"/>
  <c r="L58" i="4"/>
  <c r="L59" i="4" s="1"/>
  <c r="P39" i="7" l="1"/>
  <c r="P64" i="7"/>
  <c r="AF28" i="13"/>
  <c r="AF31" i="13" s="1"/>
  <c r="AG38" i="13"/>
  <c r="AD19" i="5"/>
  <c r="AE12" i="13"/>
  <c r="AC10" i="5"/>
  <c r="AG13" i="13"/>
  <c r="AE34" i="13"/>
  <c r="AE35" i="13" s="1"/>
  <c r="AE22" i="13"/>
  <c r="A125" i="16"/>
  <c r="A123" i="16"/>
  <c r="A124" i="16" s="1"/>
  <c r="AH19" i="13"/>
  <c r="AH14" i="13"/>
  <c r="AI7" i="13"/>
  <c r="AH44" i="13"/>
  <c r="AH39" i="13"/>
  <c r="AG24" i="13"/>
  <c r="AG23" i="13" s="1"/>
  <c r="AG18" i="13"/>
  <c r="AH20" i="13"/>
  <c r="AH25" i="13" s="1"/>
  <c r="AH15" i="13"/>
  <c r="AI9" i="13"/>
  <c r="AH40" i="13"/>
  <c r="AH45" i="13"/>
  <c r="AH50" i="13" s="1"/>
  <c r="AH21" i="13"/>
  <c r="AH26" i="13" s="1"/>
  <c r="AH16" i="13"/>
  <c r="AI8" i="13"/>
  <c r="AH46" i="13"/>
  <c r="AH51" i="13" s="1"/>
  <c r="AG49" i="13"/>
  <c r="AG48" i="13" s="1"/>
  <c r="AG53" i="13" s="1"/>
  <c r="AG43" i="13"/>
  <c r="AH41" i="13"/>
  <c r="L61" i="4"/>
  <c r="P64" i="4"/>
  <c r="L66" i="4"/>
  <c r="M58" i="4"/>
  <c r="M59" i="4" s="1"/>
  <c r="Q39" i="7" l="1"/>
  <c r="Q64" i="7"/>
  <c r="AG28" i="13"/>
  <c r="AG34" i="13" s="1"/>
  <c r="AG35" i="13" s="1"/>
  <c r="AF59" i="13"/>
  <c r="AF60" i="13" s="1"/>
  <c r="AF56" i="13"/>
  <c r="AF37" i="13"/>
  <c r="AI41" i="13"/>
  <c r="AG37" i="13"/>
  <c r="AE19" i="5"/>
  <c r="AF12" i="13"/>
  <c r="AD10" i="5"/>
  <c r="AF34" i="13"/>
  <c r="AF35" i="13" s="1"/>
  <c r="A128" i="16"/>
  <c r="A126" i="16"/>
  <c r="A127" i="16" s="1"/>
  <c r="AF22" i="13"/>
  <c r="AG59" i="13"/>
  <c r="AG60" i="13" s="1"/>
  <c r="AG56" i="13"/>
  <c r="AI21" i="13"/>
  <c r="AI26" i="13" s="1"/>
  <c r="AI16" i="13"/>
  <c r="AI46" i="13"/>
  <c r="AI51" i="13" s="1"/>
  <c r="AI19" i="13"/>
  <c r="AI14" i="13"/>
  <c r="AI44" i="13"/>
  <c r="AI39" i="13"/>
  <c r="AH24" i="13"/>
  <c r="AH23" i="13" s="1"/>
  <c r="AH18" i="13"/>
  <c r="AH38" i="13"/>
  <c r="AI20" i="13"/>
  <c r="AI25" i="13" s="1"/>
  <c r="AI15" i="13"/>
  <c r="AI40" i="13"/>
  <c r="AI45" i="13"/>
  <c r="AI50" i="13" s="1"/>
  <c r="AH43" i="13"/>
  <c r="AH49" i="13"/>
  <c r="AH48" i="13" s="1"/>
  <c r="AH13" i="13"/>
  <c r="AH28" i="13" s="1"/>
  <c r="M61" i="4"/>
  <c r="Q64" i="4"/>
  <c r="M66" i="4"/>
  <c r="N58" i="4"/>
  <c r="N59" i="4" s="1"/>
  <c r="R39" i="7" l="1"/>
  <c r="R64" i="7"/>
  <c r="AH53" i="13"/>
  <c r="AF19" i="5"/>
  <c r="AF20" i="5" s="1"/>
  <c r="AF22" i="5" s="1"/>
  <c r="AG31" i="13"/>
  <c r="AG12" i="13"/>
  <c r="AE10" i="5"/>
  <c r="A131" i="16"/>
  <c r="A129" i="16"/>
  <c r="A130" i="16" s="1"/>
  <c r="AG22" i="13"/>
  <c r="AI38" i="13"/>
  <c r="AP40" i="13" s="1"/>
  <c r="AI13" i="13"/>
  <c r="AI49" i="13"/>
  <c r="AI43" i="13"/>
  <c r="AI24" i="13"/>
  <c r="AI18" i="13"/>
  <c r="N61" i="4"/>
  <c r="R64" i="4"/>
  <c r="N66" i="4"/>
  <c r="O58" i="4"/>
  <c r="O59" i="4" s="1"/>
  <c r="S39" i="7" l="1"/>
  <c r="S64" i="7"/>
  <c r="AP15" i="13"/>
  <c r="AH59" i="13"/>
  <c r="AH60" i="13" s="1"/>
  <c r="AH56" i="13"/>
  <c r="AH37" i="13"/>
  <c r="AH12" i="13"/>
  <c r="AF10" i="5"/>
  <c r="AP16" i="13"/>
  <c r="AP14" i="13"/>
  <c r="A134" i="16"/>
  <c r="A132" i="16"/>
  <c r="A133" i="16" s="1"/>
  <c r="AI48" i="13"/>
  <c r="AP41" i="13"/>
  <c r="AP39" i="13"/>
  <c r="AI23" i="13"/>
  <c r="AP24" i="13" s="1"/>
  <c r="AH22" i="13"/>
  <c r="AH34" i="13"/>
  <c r="AH35" i="13" s="1"/>
  <c r="AH31" i="13"/>
  <c r="O61" i="4"/>
  <c r="S64" i="4"/>
  <c r="O66" i="4"/>
  <c r="P58" i="4"/>
  <c r="P59" i="4" s="1"/>
  <c r="T64" i="7" l="1"/>
  <c r="T39" i="7"/>
  <c r="AP49" i="13"/>
  <c r="AI53" i="13"/>
  <c r="AG19" i="5" s="1"/>
  <c r="AI28" i="13"/>
  <c r="A137" i="16"/>
  <c r="A135" i="16"/>
  <c r="A136" i="16" s="1"/>
  <c r="AP50" i="13"/>
  <c r="AP51" i="13"/>
  <c r="AP26" i="13"/>
  <c r="AP25" i="13"/>
  <c r="P61" i="4"/>
  <c r="T64" i="4"/>
  <c r="P66" i="4"/>
  <c r="Q58" i="4"/>
  <c r="Q59" i="4" s="1"/>
  <c r="U39" i="7" l="1"/>
  <c r="U64" i="7"/>
  <c r="AI22" i="13"/>
  <c r="AG10" i="5"/>
  <c r="D47" i="5"/>
  <c r="D54" i="5" s="1"/>
  <c r="AG20" i="5"/>
  <c r="AG22" i="5" s="1"/>
  <c r="A140" i="16"/>
  <c r="A138" i="16"/>
  <c r="A139" i="16" s="1"/>
  <c r="AI37" i="13"/>
  <c r="AI59" i="13"/>
  <c r="AI60" i="13" s="1"/>
  <c r="AI56" i="13"/>
  <c r="AI12" i="13"/>
  <c r="AI31" i="13"/>
  <c r="AI34" i="13"/>
  <c r="AI35" i="13" s="1"/>
  <c r="Q61" i="4"/>
  <c r="U64" i="4"/>
  <c r="Q66" i="4"/>
  <c r="R58" i="4"/>
  <c r="R59" i="4" s="1"/>
  <c r="V39" i="7" l="1"/>
  <c r="V64" i="7"/>
  <c r="C47" i="5"/>
  <c r="C54" i="5" s="1"/>
  <c r="C51" i="5" s="1"/>
  <c r="AG11" i="5"/>
  <c r="AG13" i="5" s="1"/>
  <c r="A143" i="16"/>
  <c r="A141" i="16"/>
  <c r="A142" i="16" s="1"/>
  <c r="R61" i="4"/>
  <c r="V64" i="4"/>
  <c r="R66" i="4"/>
  <c r="S58" i="4"/>
  <c r="S59" i="4" s="1"/>
  <c r="W39" i="7" l="1"/>
  <c r="W64" i="7"/>
  <c r="A146" i="16"/>
  <c r="A147" i="16" s="1"/>
  <c r="A148" i="16" s="1"/>
  <c r="A144" i="16"/>
  <c r="A145" i="16" s="1"/>
  <c r="S61" i="4"/>
  <c r="W64" i="4"/>
  <c r="S66" i="4"/>
  <c r="T58" i="4"/>
  <c r="T59" i="4" s="1"/>
  <c r="X39" i="7" l="1"/>
  <c r="X64" i="7"/>
  <c r="T61" i="4"/>
  <c r="X64" i="4"/>
  <c r="T66" i="4"/>
  <c r="U58" i="4"/>
  <c r="U59" i="4" s="1"/>
  <c r="Y39" i="7" l="1"/>
  <c r="Y64" i="7"/>
  <c r="U61" i="4"/>
  <c r="Y64" i="4"/>
  <c r="U66" i="4"/>
  <c r="V58" i="4"/>
  <c r="V59" i="4" s="1"/>
  <c r="Z39" i="7" l="1"/>
  <c r="Z64" i="7"/>
  <c r="V61" i="4"/>
  <c r="Z64" i="4"/>
  <c r="V66" i="4"/>
  <c r="W58" i="4"/>
  <c r="W59" i="4" s="1"/>
  <c r="AA39" i="7" l="1"/>
  <c r="AA64" i="7"/>
  <c r="W61" i="4"/>
  <c r="AA64" i="4"/>
  <c r="W66" i="4"/>
  <c r="X58" i="4"/>
  <c r="X59" i="4" s="1"/>
  <c r="AB39" i="7" l="1"/>
  <c r="AB64" i="7"/>
  <c r="X61" i="4"/>
  <c r="AB64" i="4"/>
  <c r="X66" i="4"/>
  <c r="Y58" i="4"/>
  <c r="Y59" i="4" s="1"/>
  <c r="AC39" i="7" l="1"/>
  <c r="AC64" i="7"/>
  <c r="Y61" i="4"/>
  <c r="AC64" i="4"/>
  <c r="Y66" i="4"/>
  <c r="Z58" i="4"/>
  <c r="Z59" i="4" s="1"/>
  <c r="AD39" i="7" l="1"/>
  <c r="AD64" i="7"/>
  <c r="Z61" i="4"/>
  <c r="AD64" i="4"/>
  <c r="Z66" i="4"/>
  <c r="AA58" i="4"/>
  <c r="AA59" i="4" s="1"/>
  <c r="AE39" i="7" l="1"/>
  <c r="AE64" i="7"/>
  <c r="AA61" i="4"/>
  <c r="AE64" i="4"/>
  <c r="AA66" i="4"/>
  <c r="AB58" i="4"/>
  <c r="AB59" i="4" s="1"/>
  <c r="AF39" i="7" l="1"/>
  <c r="AF64" i="7"/>
  <c r="AB61" i="4"/>
  <c r="AF64" i="4"/>
  <c r="AB66" i="4"/>
  <c r="AC58" i="4"/>
  <c r="AC59" i="4" s="1"/>
  <c r="AG39" i="7" l="1"/>
  <c r="AG64" i="7"/>
  <c r="AC61" i="4"/>
  <c r="AG64" i="4"/>
  <c r="AC66" i="4"/>
  <c r="AD58" i="4"/>
  <c r="AD59" i="4" s="1"/>
  <c r="AH39" i="7" l="1"/>
  <c r="AH64" i="7"/>
  <c r="AD61" i="4"/>
  <c r="AH64" i="4"/>
  <c r="AD66" i="4"/>
  <c r="AE58" i="4"/>
  <c r="AE59" i="4" s="1"/>
  <c r="AI39" i="7" l="1"/>
  <c r="AI64" i="7"/>
  <c r="AE61" i="4"/>
  <c r="AI64" i="4"/>
  <c r="AE66" i="4"/>
  <c r="AF58" i="4"/>
  <c r="AF59" i="4" s="1"/>
  <c r="AJ64" i="7" l="1"/>
  <c r="AJ39" i="7"/>
  <c r="AJ64" i="4"/>
  <c r="AF61" i="4"/>
  <c r="AF66" i="4"/>
  <c r="AG58" i="4"/>
  <c r="AG59" i="4" s="1"/>
  <c r="AK39" i="7" l="1"/>
  <c r="AK64" i="7"/>
  <c r="AG61" i="4"/>
  <c r="AG66" i="4"/>
  <c r="AH58" i="4"/>
  <c r="AH59" i="4" s="1"/>
  <c r="AH61" i="4" l="1"/>
  <c r="AH66" i="4"/>
  <c r="AI58" i="4"/>
  <c r="AI59" i="4" s="1"/>
  <c r="AI61" i="4" l="1"/>
  <c r="AI66" i="4"/>
  <c r="D11" i="5" l="1"/>
  <c r="D13" i="5" s="1"/>
  <c r="AF11" i="5"/>
  <c r="AF13" i="5" s="1"/>
  <c r="P11" i="5"/>
  <c r="P13" i="5" s="1"/>
  <c r="U11" i="5"/>
  <c r="U13" i="5" s="1"/>
  <c r="K11" i="5"/>
  <c r="K13" i="5" s="1"/>
  <c r="Z11" i="5" l="1"/>
  <c r="Z13" i="5" s="1"/>
  <c r="E11" i="5"/>
  <c r="E13" i="5" l="1"/>
  <c r="F11" i="5"/>
  <c r="F13" i="5" s="1"/>
  <c r="G11" i="5" l="1"/>
  <c r="G13" i="5" l="1"/>
  <c r="H11" i="5"/>
  <c r="H13" i="5" l="1"/>
  <c r="I11" i="5" l="1"/>
  <c r="I13" i="5" l="1"/>
  <c r="J11" i="5" l="1"/>
  <c r="J13" i="5" l="1"/>
  <c r="N11" i="5"/>
  <c r="N13" i="5" s="1"/>
  <c r="L11" i="5"/>
  <c r="L13" i="5" l="1"/>
  <c r="M11" i="5"/>
  <c r="M13" i="5" s="1"/>
  <c r="O11" i="5"/>
  <c r="C29" i="5" l="1"/>
  <c r="O13" i="5"/>
  <c r="Q11" i="5" l="1"/>
  <c r="Q13" i="5" l="1"/>
  <c r="R11" i="5" l="1"/>
  <c r="R13" i="5" l="1"/>
  <c r="S11" i="5"/>
  <c r="C35" i="5" s="1"/>
  <c r="S13" i="5" l="1"/>
  <c r="T11" i="5" l="1"/>
  <c r="T13" i="5" l="1"/>
  <c r="V11" i="5"/>
  <c r="V13" i="5" l="1"/>
  <c r="X11" i="5"/>
  <c r="X13" i="5" s="1"/>
  <c r="W11" i="5"/>
  <c r="W13" i="5" l="1"/>
  <c r="Y11" i="5"/>
  <c r="C41" i="5" s="1"/>
  <c r="Y13" i="5" l="1"/>
  <c r="AA11" i="5"/>
  <c r="AA13" i="5" l="1"/>
  <c r="AB11" i="5"/>
  <c r="AB13" i="5" s="1"/>
  <c r="AC11" i="5"/>
  <c r="AD11" i="5"/>
  <c r="AD13" i="5" s="1"/>
  <c r="AE11" i="5" l="1"/>
  <c r="AC13" i="5"/>
  <c r="C44" i="5" l="1"/>
  <c r="AE13" i="5"/>
  <c r="I20" i="5"/>
  <c r="I22" i="5" s="1"/>
  <c r="H20" i="5"/>
  <c r="H22" i="5" s="1"/>
  <c r="G20" i="5"/>
  <c r="J20" i="5"/>
  <c r="J22" i="5" s="1"/>
  <c r="F20" i="5" l="1"/>
  <c r="F22" i="5" s="1"/>
  <c r="E28" i="5"/>
  <c r="G22" i="5"/>
  <c r="W20" i="5"/>
  <c r="W22" i="5" s="1"/>
  <c r="V20" i="5"/>
  <c r="V22" i="5" s="1"/>
  <c r="Y20" i="5"/>
  <c r="Y22" i="5" s="1"/>
  <c r="AB20" i="5"/>
  <c r="AB22" i="5" s="1"/>
  <c r="AA20" i="5"/>
  <c r="AA22" i="5" s="1"/>
  <c r="T20" i="5"/>
  <c r="T22" i="5" s="1"/>
  <c r="O20" i="5"/>
  <c r="AE20" i="5"/>
  <c r="AE22" i="5" s="1"/>
  <c r="Q20" i="5"/>
  <c r="AC20" i="5"/>
  <c r="AC22" i="5" s="1"/>
  <c r="L20" i="5"/>
  <c r="X20" i="5"/>
  <c r="X22" i="5" s="1"/>
  <c r="S20" i="5"/>
  <c r="N20" i="5"/>
  <c r="N22" i="5" s="1"/>
  <c r="AD20" i="5"/>
  <c r="AD22" i="5" s="1"/>
  <c r="O22" i="5" l="1"/>
  <c r="S22" i="5"/>
  <c r="D41" i="5"/>
  <c r="E47" i="5"/>
  <c r="R20" i="5"/>
  <c r="R22" i="5" s="1"/>
  <c r="Q22" i="5"/>
  <c r="L22" i="5"/>
  <c r="M20" i="5"/>
  <c r="M22" i="5" s="1"/>
  <c r="E34" i="5"/>
  <c r="E54" i="5" l="1"/>
  <c r="D35" i="5"/>
  <c r="E35" i="5" s="1"/>
  <c r="E41" i="5"/>
  <c r="D38" i="8"/>
  <c r="E17" i="15"/>
  <c r="D26" i="15" s="1"/>
  <c r="E26" i="15" s="1"/>
  <c r="E17" i="14"/>
  <c r="D26" i="14" s="1"/>
  <c r="E26" i="14" s="1"/>
  <c r="E17" i="5"/>
  <c r="D26" i="5" l="1"/>
  <c r="E26" i="5" s="1"/>
  <c r="D45" i="5"/>
  <c r="D45" i="14"/>
  <c r="E20" i="5"/>
  <c r="D29" i="5" s="1"/>
  <c r="E20" i="14"/>
  <c r="E20" i="15"/>
  <c r="D45" i="15"/>
  <c r="D52" i="5" l="1"/>
  <c r="D51" i="5" s="1"/>
  <c r="E45" i="5"/>
  <c r="E22" i="15"/>
  <c r="D44" i="15"/>
  <c r="D29" i="15"/>
  <c r="E29" i="15" s="1"/>
  <c r="E22" i="5"/>
  <c r="E29" i="5"/>
  <c r="D44" i="5"/>
  <c r="D52" i="15"/>
  <c r="E45" i="15"/>
  <c r="E52" i="15" s="1"/>
  <c r="E22" i="14"/>
  <c r="D44" i="14"/>
  <c r="D29" i="14"/>
  <c r="E29" i="14" s="1"/>
  <c r="D52" i="14"/>
  <c r="E45" i="14"/>
  <c r="E52" i="14" s="1"/>
  <c r="E44" i="5" l="1"/>
  <c r="E52" i="5"/>
  <c r="E51" i="5" s="1"/>
  <c r="E44" i="14"/>
  <c r="E51" i="14" s="1"/>
  <c r="D51" i="14"/>
  <c r="D51" i="15"/>
  <c r="E44" i="15"/>
  <c r="E51" i="15" s="1"/>
  <c r="G5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Valentina Nicolescu</author>
  </authors>
  <commentList>
    <comment ref="D48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Valentina Nicolescu:</t>
        </r>
        <r>
          <rPr>
            <sz val="9"/>
            <color indexed="81"/>
            <rFont val="Tahoma"/>
            <family val="2"/>
          </rPr>
          <t xml:space="preserve">
conform anexa Indice Inflatie-CV-15.04.2020</t>
        </r>
      </text>
    </comment>
  </commentList>
</comments>
</file>

<file path=xl/sharedStrings.xml><?xml version="1.0" encoding="utf-8"?>
<sst xmlns="http://schemas.openxmlformats.org/spreadsheetml/2006/main" count="2193" uniqueCount="652">
  <si>
    <t>urban</t>
  </si>
  <si>
    <t>rural</t>
  </si>
  <si>
    <t xml:space="preserve"> </t>
  </si>
  <si>
    <t>lei/luna</t>
  </si>
  <si>
    <t>fata de medie</t>
  </si>
  <si>
    <t>din national</t>
  </si>
  <si>
    <t>Dimensiunea unei gospodarii</t>
  </si>
  <si>
    <t>medie</t>
  </si>
  <si>
    <t>r=</t>
  </si>
  <si>
    <t>an de baza</t>
  </si>
  <si>
    <t>Anii</t>
  </si>
  <si>
    <t>factor actualizare</t>
  </si>
  <si>
    <t>Nr.</t>
  </si>
  <si>
    <t>Articol</t>
  </si>
  <si>
    <t>1</t>
  </si>
  <si>
    <t>Arad</t>
  </si>
  <si>
    <t>1.1</t>
  </si>
  <si>
    <t>Alimentarea cu apa</t>
  </si>
  <si>
    <t>1.2</t>
  </si>
  <si>
    <t>Apa uzata</t>
  </si>
  <si>
    <t>2</t>
  </si>
  <si>
    <t>Chisineu Cris</t>
  </si>
  <si>
    <t>2.1</t>
  </si>
  <si>
    <t>2.2</t>
  </si>
  <si>
    <t>Curtici</t>
  </si>
  <si>
    <t>3.1</t>
  </si>
  <si>
    <t>3.2</t>
  </si>
  <si>
    <t>Ineu</t>
  </si>
  <si>
    <t>4,1</t>
  </si>
  <si>
    <t>4,2</t>
  </si>
  <si>
    <t>5</t>
  </si>
  <si>
    <t>Lipova</t>
  </si>
  <si>
    <t>5,1</t>
  </si>
  <si>
    <t>5,2</t>
  </si>
  <si>
    <t>Nadlac</t>
  </si>
  <si>
    <t>6,1</t>
  </si>
  <si>
    <t>6,2</t>
  </si>
  <si>
    <t>Pecica</t>
  </si>
  <si>
    <t>7,1</t>
  </si>
  <si>
    <t>7,2</t>
  </si>
  <si>
    <t>8</t>
  </si>
  <si>
    <t>Pancota</t>
  </si>
  <si>
    <t>8,1</t>
  </si>
  <si>
    <t>8,2</t>
  </si>
  <si>
    <t>Santana</t>
  </si>
  <si>
    <t>9,1</t>
  </si>
  <si>
    <t>9,2</t>
  </si>
  <si>
    <t>10</t>
  </si>
  <si>
    <t>Sebis</t>
  </si>
  <si>
    <t>10,1</t>
  </si>
  <si>
    <t>10,2</t>
  </si>
  <si>
    <t>Almas</t>
  </si>
  <si>
    <t>11,1</t>
  </si>
  <si>
    <t>11,2</t>
  </si>
  <si>
    <t>Apateu</t>
  </si>
  <si>
    <t>12,1</t>
  </si>
  <si>
    <t>12,2</t>
  </si>
  <si>
    <t>13</t>
  </si>
  <si>
    <t>Archis</t>
  </si>
  <si>
    <t>13,1</t>
  </si>
  <si>
    <t>13,2</t>
  </si>
  <si>
    <t>Bata</t>
  </si>
  <si>
    <t>14,1</t>
  </si>
  <si>
    <t>14,2</t>
  </si>
  <si>
    <t>Beliu</t>
  </si>
  <si>
    <t>15,1</t>
  </si>
  <si>
    <t>15,2</t>
  </si>
  <si>
    <t>16</t>
  </si>
  <si>
    <t>Birchis</t>
  </si>
  <si>
    <t>16,1</t>
  </si>
  <si>
    <t>16,2</t>
  </si>
  <si>
    <t>Barsa</t>
  </si>
  <si>
    <t>17,1</t>
  </si>
  <si>
    <t>17,2</t>
  </si>
  <si>
    <t>Barzava</t>
  </si>
  <si>
    <t>18,1</t>
  </si>
  <si>
    <t>18,2</t>
  </si>
  <si>
    <t>19</t>
  </si>
  <si>
    <t>Bocsig</t>
  </si>
  <si>
    <t>19,1</t>
  </si>
  <si>
    <t>19,2</t>
  </si>
  <si>
    <t>Brazii</t>
  </si>
  <si>
    <t>20,1</t>
  </si>
  <si>
    <t>20,2</t>
  </si>
  <si>
    <t>Buteni</t>
  </si>
  <si>
    <t>21,1</t>
  </si>
  <si>
    <t>21,2</t>
  </si>
  <si>
    <t>22</t>
  </si>
  <si>
    <t>Carand</t>
  </si>
  <si>
    <t>22,1</t>
  </si>
  <si>
    <t>22,2</t>
  </si>
  <si>
    <t>Cermei</t>
  </si>
  <si>
    <t>23,1</t>
  </si>
  <si>
    <t>23,2</t>
  </si>
  <si>
    <t>Chisindia</t>
  </si>
  <si>
    <t>24,1</t>
  </si>
  <si>
    <t>24,2</t>
  </si>
  <si>
    <t>Conop</t>
  </si>
  <si>
    <t>25,1</t>
  </si>
  <si>
    <t>25,2</t>
  </si>
  <si>
    <t>Covasant</t>
  </si>
  <si>
    <t>26,1</t>
  </si>
  <si>
    <t>26,2</t>
  </si>
  <si>
    <t>Craiva</t>
  </si>
  <si>
    <t>27,1</t>
  </si>
  <si>
    <t>27,2</t>
  </si>
  <si>
    <t>Dezna</t>
  </si>
  <si>
    <t>28,1</t>
  </si>
  <si>
    <t>28,2</t>
  </si>
  <si>
    <t>Dieci</t>
  </si>
  <si>
    <t>29,1</t>
  </si>
  <si>
    <t>29,2</t>
  </si>
  <si>
    <t>Dorobanti</t>
  </si>
  <si>
    <t>30,1</t>
  </si>
  <si>
    <t>30,2</t>
  </si>
  <si>
    <t>Felnac</t>
  </si>
  <si>
    <t>31,1</t>
  </si>
  <si>
    <t>31,2</t>
  </si>
  <si>
    <t>Fantanele</t>
  </si>
  <si>
    <t>32,1</t>
  </si>
  <si>
    <t>32,2</t>
  </si>
  <si>
    <t>Frumuseni</t>
  </si>
  <si>
    <t>33,1</t>
  </si>
  <si>
    <t>33,2</t>
  </si>
  <si>
    <t>Ghioroc</t>
  </si>
  <si>
    <t>34.1</t>
  </si>
  <si>
    <t>34.2</t>
  </si>
  <si>
    <t>35</t>
  </si>
  <si>
    <t>Graniceri</t>
  </si>
  <si>
    <t>35.1</t>
  </si>
  <si>
    <t>35.2</t>
  </si>
  <si>
    <t>Gurahont</t>
  </si>
  <si>
    <t>36.1</t>
  </si>
  <si>
    <t>36.2</t>
  </si>
  <si>
    <t>Halmagiu</t>
  </si>
  <si>
    <t>37.1</t>
  </si>
  <si>
    <t>37.2</t>
  </si>
  <si>
    <t>38</t>
  </si>
  <si>
    <t>Halmagel</t>
  </si>
  <si>
    <t>38.1</t>
  </si>
  <si>
    <t>38.2</t>
  </si>
  <si>
    <t>Hasmas</t>
  </si>
  <si>
    <t>39.1</t>
  </si>
  <si>
    <t>39.2</t>
  </si>
  <si>
    <t>Ignesti</t>
  </si>
  <si>
    <t>40.1</t>
  </si>
  <si>
    <t>40.2</t>
  </si>
  <si>
    <t>41</t>
  </si>
  <si>
    <t>Iratosu</t>
  </si>
  <si>
    <t>41.1</t>
  </si>
  <si>
    <t>41.2</t>
  </si>
  <si>
    <t>Livada</t>
  </si>
  <si>
    <t>42.1</t>
  </si>
  <si>
    <t>42.2</t>
  </si>
  <si>
    <t>43</t>
  </si>
  <si>
    <t>Macea</t>
  </si>
  <si>
    <t>43.1</t>
  </si>
  <si>
    <t>43.2</t>
  </si>
  <si>
    <t>Misca</t>
  </si>
  <si>
    <t>44.1</t>
  </si>
  <si>
    <t>44.2</t>
  </si>
  <si>
    <t>Moneasa</t>
  </si>
  <si>
    <t>45.1</t>
  </si>
  <si>
    <t>45.2</t>
  </si>
  <si>
    <t>46</t>
  </si>
  <si>
    <t>Olari</t>
  </si>
  <si>
    <t>46.1</t>
  </si>
  <si>
    <t>46.2</t>
  </si>
  <si>
    <t>Paulis</t>
  </si>
  <si>
    <t>47.1</t>
  </si>
  <si>
    <t>47.2</t>
  </si>
  <si>
    <t>Peregu Mare</t>
  </si>
  <si>
    <t>48.1</t>
  </si>
  <si>
    <t>48.2</t>
  </si>
  <si>
    <t>49</t>
  </si>
  <si>
    <t>Petris</t>
  </si>
  <si>
    <t>49.1</t>
  </si>
  <si>
    <t>49.2</t>
  </si>
  <si>
    <t>Pilu</t>
  </si>
  <si>
    <t>50.1</t>
  </si>
  <si>
    <t>50.2</t>
  </si>
  <si>
    <t>Plescuta</t>
  </si>
  <si>
    <t>51.1</t>
  </si>
  <si>
    <t>51.2</t>
  </si>
  <si>
    <t>52</t>
  </si>
  <si>
    <t>Savrasin</t>
  </si>
  <si>
    <t>52.1</t>
  </si>
  <si>
    <t>52.2</t>
  </si>
  <si>
    <t>Secusigiu</t>
  </si>
  <si>
    <t>53.1</t>
  </si>
  <si>
    <t>53.2</t>
  </si>
  <si>
    <t>Seleus</t>
  </si>
  <si>
    <t>54.1</t>
  </si>
  <si>
    <t>54.2</t>
  </si>
  <si>
    <t>55</t>
  </si>
  <si>
    <t>Semlac</t>
  </si>
  <si>
    <t>55.1</t>
  </si>
  <si>
    <t>55.2</t>
  </si>
  <si>
    <t>Sintea Mare</t>
  </si>
  <si>
    <t>56.1</t>
  </si>
  <si>
    <t>56.2</t>
  </si>
  <si>
    <t>Socodor</t>
  </si>
  <si>
    <t>57.1</t>
  </si>
  <si>
    <t>57.2</t>
  </si>
  <si>
    <t>Sagu</t>
  </si>
  <si>
    <t>58.1</t>
  </si>
  <si>
    <t>58.2</t>
  </si>
  <si>
    <t>Seitin</t>
  </si>
  <si>
    <t>59.1</t>
  </si>
  <si>
    <t>59.2</t>
  </si>
  <si>
    <t>Sepreus</t>
  </si>
  <si>
    <t>60.1</t>
  </si>
  <si>
    <t>60.2</t>
  </si>
  <si>
    <t>Sicula</t>
  </si>
  <si>
    <t>61.1</t>
  </si>
  <si>
    <t>61.2</t>
  </si>
  <si>
    <t>Silindia</t>
  </si>
  <si>
    <t>62.1</t>
  </si>
  <si>
    <t>62.2</t>
  </si>
  <si>
    <t>Simand</t>
  </si>
  <si>
    <t>63.1</t>
  </si>
  <si>
    <t>63.2</t>
  </si>
  <si>
    <t>Siria</t>
  </si>
  <si>
    <t>64.1</t>
  </si>
  <si>
    <t>64.2</t>
  </si>
  <si>
    <t>Sistarovat</t>
  </si>
  <si>
    <t>65.1</t>
  </si>
  <si>
    <t>65.2</t>
  </si>
  <si>
    <t>Sofronea</t>
  </si>
  <si>
    <t>66.1</t>
  </si>
  <si>
    <t>66.2</t>
  </si>
  <si>
    <t>Taut</t>
  </si>
  <si>
    <t>67.1</t>
  </si>
  <si>
    <t>67.2</t>
  </si>
  <si>
    <t>68</t>
  </si>
  <si>
    <t>Tarnova</t>
  </si>
  <si>
    <t>68.1</t>
  </si>
  <si>
    <t>68.2</t>
  </si>
  <si>
    <t>Ususau</t>
  </si>
  <si>
    <t>69.1</t>
  </si>
  <si>
    <t>69.2</t>
  </si>
  <si>
    <t>70</t>
  </si>
  <si>
    <t>Varfurile</t>
  </si>
  <si>
    <t>70.1</t>
  </si>
  <si>
    <t>70.2</t>
  </si>
  <si>
    <t>Varadia de Mures</t>
  </si>
  <si>
    <t>71.1</t>
  </si>
  <si>
    <t>71.2</t>
  </si>
  <si>
    <t>Vinga</t>
  </si>
  <si>
    <t>72.1</t>
  </si>
  <si>
    <t>72.2</t>
  </si>
  <si>
    <t>73</t>
  </si>
  <si>
    <t>Vladimirescu</t>
  </si>
  <si>
    <t>73.1</t>
  </si>
  <si>
    <t>73.2</t>
  </si>
  <si>
    <t>Zabrani</t>
  </si>
  <si>
    <t>74.1</t>
  </si>
  <si>
    <t>74.2</t>
  </si>
  <si>
    <t>Zadareni</t>
  </si>
  <si>
    <t>75.1</t>
  </si>
  <si>
    <t>75.2</t>
  </si>
  <si>
    <t>76</t>
  </si>
  <si>
    <t>Zarand</t>
  </si>
  <si>
    <t>76.1</t>
  </si>
  <si>
    <t>76.2</t>
  </si>
  <si>
    <t>Zerind</t>
  </si>
  <si>
    <t>77.1</t>
  </si>
  <si>
    <t>77.2</t>
  </si>
  <si>
    <t>Zimandu Nou</t>
  </si>
  <si>
    <t>78.1</t>
  </si>
  <si>
    <t>78.2</t>
  </si>
  <si>
    <t>TOT</t>
  </si>
  <si>
    <t>U.M.</t>
  </si>
  <si>
    <t>mc</t>
  </si>
  <si>
    <t>Cererea de apă</t>
  </si>
  <si>
    <t>Alimentare cu apă</t>
  </si>
  <si>
    <t>Costuri de investitii</t>
  </si>
  <si>
    <t>Costuri de inlocuire / reinvestiri</t>
  </si>
  <si>
    <t>Costuri de operare și intretinere</t>
  </si>
  <si>
    <t>Total costuri</t>
  </si>
  <si>
    <t xml:space="preserve">Volum de apa </t>
  </si>
  <si>
    <t>Apă uzată</t>
  </si>
  <si>
    <t>Costuri fixe (total)</t>
  </si>
  <si>
    <t>Costuri fixe personal</t>
  </si>
  <si>
    <t>Costuri fixe energie &amp; combustibili</t>
  </si>
  <si>
    <t>Alte costuri fixe</t>
  </si>
  <si>
    <t>euro/an</t>
  </si>
  <si>
    <t>Costuri variabile</t>
  </si>
  <si>
    <t>euro/mc</t>
  </si>
  <si>
    <t>Costuri variabile personal</t>
  </si>
  <si>
    <t>Costuri variabile energie &amp; combustibili</t>
  </si>
  <si>
    <t>Alte costuri variabile</t>
  </si>
  <si>
    <t>Volum de apa produs</t>
  </si>
  <si>
    <t>crestere costuri constante personal</t>
  </si>
  <si>
    <t>crestere costuri constante energie&amp;combustibili</t>
  </si>
  <si>
    <t>Volum de apa colectat&amp;tratata</t>
  </si>
  <si>
    <t>Total costuri apa uzata</t>
  </si>
  <si>
    <t>Total costuri alimentare cu apa</t>
  </si>
  <si>
    <t>Populatie conectata</t>
  </si>
  <si>
    <t>nr.</t>
  </si>
  <si>
    <t>euro/pers</t>
  </si>
  <si>
    <t>rata actualizare</t>
  </si>
  <si>
    <t>Alimentare cu apa</t>
  </si>
  <si>
    <t>TOTAL</t>
  </si>
  <si>
    <t>DPC investitie</t>
  </si>
  <si>
    <t>DPC reinvestiri</t>
  </si>
  <si>
    <t>DPC O&amp;M</t>
  </si>
  <si>
    <t>crestere costuri constante materiale</t>
  </si>
  <si>
    <t>Factor de crestere costuri constante personal</t>
  </si>
  <si>
    <t>Factor de crestere costuri constante materiale</t>
  </si>
  <si>
    <t>Factor de crestere costuri constante energie&amp;combustibili</t>
  </si>
  <si>
    <t>Volum apa facturat</t>
  </si>
  <si>
    <t>Costuri acoperire O&amp;M - preturi constante</t>
  </si>
  <si>
    <t>lei/mc</t>
  </si>
  <si>
    <t>Costuri alimentare cu apa/pers/an</t>
  </si>
  <si>
    <t>Costuri apa uzata/pers./an</t>
  </si>
  <si>
    <t>euro</t>
  </si>
  <si>
    <t>cost unitar</t>
  </si>
  <si>
    <t>DPC (euro)</t>
  </si>
  <si>
    <t>DPC (lei)</t>
  </si>
  <si>
    <t>Investitii</t>
  </si>
  <si>
    <t>Colectare și tratare apă uzată</t>
  </si>
  <si>
    <t>Altele</t>
  </si>
  <si>
    <t>&gt;2030</t>
  </si>
  <si>
    <t>2026 - 2030</t>
  </si>
  <si>
    <t>2021 - 2025</t>
  </si>
  <si>
    <t>2014 - 2020</t>
  </si>
  <si>
    <t>Sursa de finantare</t>
  </si>
  <si>
    <t>Etapa 4</t>
  </si>
  <si>
    <t>Etapa 3</t>
  </si>
  <si>
    <t>Etapa 2</t>
  </si>
  <si>
    <t>Costuri totale</t>
  </si>
  <si>
    <t>Costuri de investitie pe etape si aglomerari</t>
  </si>
  <si>
    <t>Plan de investitii pe termen lung</t>
  </si>
  <si>
    <t>JUDETUL:</t>
  </si>
  <si>
    <t>Anexa 6.3.1. Plan de investitii pe termen lung</t>
  </si>
  <si>
    <t>total alim cu apa</t>
  </si>
  <si>
    <t>total apa uzata</t>
  </si>
  <si>
    <t>Investitia specifică (euro/pers)</t>
  </si>
  <si>
    <t>Total re- investitii / inlocuiri</t>
  </si>
  <si>
    <t>Reinvestiri / inlocuiri</t>
  </si>
  <si>
    <t>Costuri investitie</t>
  </si>
  <si>
    <t>Costuri reinvestiri / inlocuiri</t>
  </si>
  <si>
    <t>Costuri operare si intratinere</t>
  </si>
  <si>
    <t>Total</t>
  </si>
  <si>
    <t>Etapa I - 2014 - 2020 (euro)</t>
  </si>
  <si>
    <t>Etapa II - 2021 - 2025 (euro)</t>
  </si>
  <si>
    <t>Etapa III - 2026-2030 (euro)</t>
  </si>
  <si>
    <t>Factori de crestere</t>
  </si>
  <si>
    <t>Total investitia de baza</t>
  </si>
  <si>
    <t>Proiectare</t>
  </si>
  <si>
    <t>Supervizare</t>
  </si>
  <si>
    <t>Avize, autorizatii, taxe si cote legale</t>
  </si>
  <si>
    <t>Diverse si neprevazute</t>
  </si>
  <si>
    <t>TOTAL GENERAL INVESTITII, din care</t>
  </si>
  <si>
    <t>Estimare necesar de investiții pentru perioada 2014-2020</t>
  </si>
  <si>
    <t>Cheltuieli neeligibile</t>
  </si>
  <si>
    <t>Etapa 5</t>
  </si>
  <si>
    <t>din regiune</t>
  </si>
  <si>
    <t>Total General</t>
  </si>
  <si>
    <t>BACAU</t>
  </si>
  <si>
    <t>Bacau</t>
  </si>
  <si>
    <t>Moinesti (Moinesti, Gazarie)</t>
  </si>
  <si>
    <t>Onesti (Onesti, Borzesti, Slobozia)</t>
  </si>
  <si>
    <t>Buhusi (Buhusi, Marginea, Runcu)</t>
  </si>
  <si>
    <t>Comanesti (Comanesti, Podei, Vermesti)</t>
  </si>
  <si>
    <t>Darmanesti (Darmanesti, Darmaneasca, Lapos, Pagubeni, Plopu, Salantruc)</t>
  </si>
  <si>
    <t>Slanic Moldova (Slanic Moldova, Cerdac, Ciresoaia)</t>
  </si>
  <si>
    <t>Targu Ocna (Targu Ocna, Poieni, Valcele)</t>
  </si>
  <si>
    <t>Agas (Agăş, Beleghet, Cotumba, Coşnea, Goioasa, Diaconeşti, Preluci, Sulţa)</t>
  </si>
  <si>
    <t>Ardeoani (Ardeoani, Leontinești)</t>
  </si>
  <si>
    <t>Asau (Asău, Lunca Asău, Ciobănuş, Apa Asău, Păltiniş, Straja)</t>
  </si>
  <si>
    <t>Balcani (Balcani, Frumoasa, Ludaşi, Schitu Frumoasa)</t>
  </si>
  <si>
    <t>Bârsăneşti (Bârsăneşti, Albele, Brăteşti, Caraclău)</t>
  </si>
  <si>
    <t>Berești Bistrița (Berești Bistrița, Brad, Climeşti, Pădureni)</t>
  </si>
  <si>
    <t>Berești Tazlău (Berești Tazlău, Boşoteni, Enăcheşti, Prisaca, Româneşti, Tescani, Ţurluianu)</t>
  </si>
  <si>
    <t>Berzunti (Berzunţi, Buda, Dragomir)</t>
  </si>
  <si>
    <t>Blăgeşti (Blăgeşti, Buda, Poiana Negustorului, Ţârdenii Mari, Valea lui Ion)</t>
  </si>
  <si>
    <t>Bogdăneşti (Bogdăneşti, Filipeşti)</t>
  </si>
  <si>
    <t>Brusturoasa (Brusturoasa, Buruienis, Buruienisu de Sus, Camenca, Cuchinis, Hanganesti)</t>
  </si>
  <si>
    <t>Buciumi (Buciumi, Racauti)</t>
  </si>
  <si>
    <t>Buhoci (Buhoci, Bijghir, Buhocel, Coteni, Dospinesti)</t>
  </si>
  <si>
    <t>Caiuti (Caiuti, Popeni, Blidari, Floresti, Heltiu, Marcesti, Boistea, Pralea, Vranceni)</t>
  </si>
  <si>
    <t>Casin (Casin, Curita)</t>
  </si>
  <si>
    <t>Cleja (Cleja, Somusca, Valea Mica)</t>
  </si>
  <si>
    <t>Colonesti (Colonesti, Zapodia, Spria, Calini, Satu Nou, Valea Mare)</t>
  </si>
  <si>
    <t>Corbasca (Corbasca, Bacioiu, Marvila, Poglet, Ragoaza, Scarisoara, Valcele)</t>
  </si>
  <si>
    <t>Cotofanesti (Cotofanesti, Balca, Boistea de Jos, Borsani, Tamasoaia)</t>
  </si>
  <si>
    <t>Damienesti (Damienesti, Calugareni, Dragesti, Padureni)</t>
  </si>
  <si>
    <t>Dealu Morii (Dealu Morii, Banca, Balanesti, Blaga, Bodeasa, Bostanesti, Calapodesti, Cauia, Dorofei, Ghinioaia, Gradesti, Negulesti, Tavadaresti)</t>
  </si>
  <si>
    <t>Dofteana (Dofteana, Bogata, Cucuieti, Haghiac, Larga, Seaca, Stefan Voda)</t>
  </si>
  <si>
    <t>Faraoani (Faraoani, Valea Mare)</t>
  </si>
  <si>
    <t>Filipeni (Filipeni, Balaia, Brad, Fruntesti, Marasti, Padureni, Slobozia, Valea Botului)</t>
  </si>
  <si>
    <t>Filipesti (Filipesti, Galbeni, Carligi, Cotu Grosului, Cornesti, Boanta, Harlesti, Oniscani)</t>
  </si>
  <si>
    <t>Gaiceana (Gaiceana, Arini, Hutu, Popesti)</t>
  </si>
  <si>
    <t xml:space="preserve">Garleni (Garleni, Garlenii de Sus, Lespezi, Surina) </t>
  </si>
  <si>
    <t>Ghimes Faget (Ghimes, Faget, Fagetu de Sus, Bolovanis, Tarhausi, Rachitis)</t>
  </si>
  <si>
    <t>Gioseni</t>
  </si>
  <si>
    <t>Glavanesti (Glavanesti, Frumuselu, Muncelu, Putredeni, Razesu)</t>
  </si>
  <si>
    <t>Gura Vaii (Gura Vaii, Capata, Dumbrava, Motocesti, Paltinata, Temelia)</t>
  </si>
  <si>
    <t xml:space="preserve">Helegiu (Helegiu, Dragugesti, Bratila, Deleni) </t>
  </si>
  <si>
    <t>FEDR</t>
  </si>
  <si>
    <t xml:space="preserve">Hemeius (Hemeius, Lilieci, Fantanele) </t>
  </si>
  <si>
    <t>Horgesti (Horgesti, Bazga, Galeri, Marascu, Racatau Razesi, Recea, Sohodor)</t>
  </si>
  <si>
    <t>Huruiesti (Huruiesti, Capotesti, Floresti, Fundoaia, Ocheni, Perchiu, Pradais)</t>
  </si>
  <si>
    <t>Itesti (Itesti, Dumbrava, Ciumasi, Fagetel)</t>
  </si>
  <si>
    <t>Izvoru Berheciului (Izvoru Berheciului, Antohesti, Baimac, Faghieni, Obarsia, Otelesti, Padureni)</t>
  </si>
  <si>
    <t>Letea Veche (Letea Veche, Holt, Radomiresti, Rusi-Ciutea, Siretu)</t>
  </si>
  <si>
    <t>Lipova (Lipova, Malosu, Satu Nou, Valea Caselor, Valea Marului, Valea Mosneagului, Valea Hogei)</t>
  </si>
  <si>
    <t>Livezi (Livezi, Balaneasa, Orasa, Poiana, Prajoaia, Scariga)</t>
  </si>
  <si>
    <t>Luizi Calugara (Luizi Calugara, Osebiti)</t>
  </si>
  <si>
    <t>Magiresti (Magiresti, Sesuri, Prajesti, Stanesti, Valea Arinilor)</t>
  </si>
  <si>
    <t>Magura (Magura, Crihan, Dealu Mare, Sohodol)*</t>
  </si>
  <si>
    <t>Inflatie pe an lei</t>
  </si>
  <si>
    <t>Index inflatie lei</t>
  </si>
  <si>
    <t>Inflatie pe an Euro</t>
  </si>
  <si>
    <t>Index inflatie Euro</t>
  </si>
  <si>
    <t>Curs schimb lei/euro utilizat in proiect</t>
  </si>
  <si>
    <t>Manastirea Casin (Manastirea Casin, Lupesti, Parvulesti, Scutaru)</t>
  </si>
  <si>
    <t>Margineni (Margineni, Barati, Luncani, Padureni, Podis, Poiana, Trebes, Valea Budului)</t>
  </si>
  <si>
    <t>Motoseni (Motoseni, Baclesti, Chetreni, Chicerea, Cociu, Cornatelu, Fantanele, Gura Craiesti, Poiana, Praja, Rotaria, Sendresti, Tepoaia)</t>
  </si>
  <si>
    <t>Negri (Negri, Poiana, Brad, Calinesti, Magla, Ursoaia)</t>
  </si>
  <si>
    <t>Nicolae Balcescu (Nicolae Balcescu, Buchila, Valea Seaca, Galbeni, Larguta)</t>
  </si>
  <si>
    <t>Odobesti (Odobesti, Ciuturesti, Balusa,Tisa Silvestri)</t>
  </si>
  <si>
    <t xml:space="preserve">Oituz (Oituz, Calcai, Ferestrau Oituz, Marginea, Harja, Poiana Sarata) </t>
  </si>
  <si>
    <t>Oncesti (Oncesti, Barboasa, Dealu Perjului, Oncestii Vechi, Satu Nou, Tarnita, Taula)</t>
  </si>
  <si>
    <t>Orbeni (Orbeni, Scurta)</t>
  </si>
  <si>
    <t>Palanca (Palanca, Cadarasti, Popoiu, Ciughes, Pajistea)</t>
  </si>
  <si>
    <t>Pincesti (Pincesti, Chilia Benei, Dienet, Fulgeris, Fundu Vaii, Motoc, Petresti, Soci)</t>
  </si>
  <si>
    <t>Parava (Parava, Dragusani, Radoaia, Teius)</t>
  </si>
  <si>
    <t>Pargaresti (Pargaresti, Parau Boghii, Bahna, Nicoresti, Satu Nou)</t>
  </si>
  <si>
    <t>Parincea (Parincea, Barna, Milestii de Sus, Milestii de Jos, Nanesti, Nastaseni, Poieni, Satu Nou, Valeni, Vladnic)</t>
  </si>
  <si>
    <t>Parjol (Parjol, Tarata, Bahnaseni, Barnesti, Basasti, Campeni, Haineala, Pustiana)</t>
  </si>
  <si>
    <t>Plopana (Plopana, Budesti, Fundu Tutovei, Itcani, Rusenii de Sus, Rusenii Razesi, Straminoasa, Dorneni)</t>
  </si>
  <si>
    <t>Podu Turcului (Podu Turcului, Balanesti, Cabesti, Giugioana, Fichitesti, Hanta, Lehancea, Plopu, Racusana, Sarbi)</t>
  </si>
  <si>
    <t>Poduri (Poduri, Bucsesti, Cernu, Cornet, Prohozesti, Valea Sosii, Negreni)</t>
  </si>
  <si>
    <t>Prajesti (Prajesti)</t>
  </si>
  <si>
    <t>Racaciuni (Racaciuni, Ciuncani, Fundu Racaciuni, Gheorghe Doja, Gasteni, Rastoaca)</t>
  </si>
  <si>
    <t>Rachitoasa (Rachitoasa, Barcana, Bucsa, Buda, Burdusaci, Danaila, Dumbrava, Farcasa, Fundatura Rachitoasa, Movilita, Magazia, Haghiac, Oprisesti, Putini, Tochilea)</t>
  </si>
  <si>
    <t>Racova (Racova, Gura Vaii, Halmacioaia, Iliesti)</t>
  </si>
  <si>
    <t>Rosiori (Rosiori, Neguseni, Misihanesti, Poieni, Valea Mare, Valea Mica)</t>
  </si>
  <si>
    <t>Sanduleni (Sanduleni, Barzulesti, Coman, Mateiesti, Stufu, Tisa, Versesti)</t>
  </si>
  <si>
    <t>Sarata (Sarata, Baltata)</t>
  </si>
  <si>
    <t>Sascut (Sascut, Schineni, Sascut-Sat, Pancesti, Beresti, Contesti, Valea Nacului)</t>
  </si>
  <si>
    <t>Saucesti (Saucesti, Bogdan Voda, Schineni, Serbesti, Siretu)</t>
  </si>
  <si>
    <t>79</t>
  </si>
  <si>
    <t>79.1</t>
  </si>
  <si>
    <t>79.2</t>
  </si>
  <si>
    <t>Scorteni (Scorteni, Floresti, Grigoreni, Bogdanesti, Serpeni, Stejaru)</t>
  </si>
  <si>
    <t>80</t>
  </si>
  <si>
    <t>80.1</t>
  </si>
  <si>
    <t>80.2</t>
  </si>
  <si>
    <t>Secuieni (Secuieni, Chiticeni, Fundeni, Glodisoarele, Valeni)</t>
  </si>
  <si>
    <t>81</t>
  </si>
  <si>
    <t>81.1</t>
  </si>
  <si>
    <t>81.2</t>
  </si>
  <si>
    <t>Solont (Solont, Sarata, Cucuieti)</t>
  </si>
  <si>
    <t>82</t>
  </si>
  <si>
    <t>82.1</t>
  </si>
  <si>
    <t>82.2</t>
  </si>
  <si>
    <t>Stanisesti (Stanisesti, Balotesti, Belciuneasa, Benesti, Craiesti, Gorghesti, Slobozia, Slobozia Noua)</t>
  </si>
  <si>
    <t>83</t>
  </si>
  <si>
    <t>83.1</t>
  </si>
  <si>
    <t>83.2</t>
  </si>
  <si>
    <t>Stefan cel Mare  (Stefan cel Mare, Bogdana, Negoiesti, Gutinas, Radeana, Viisoara)</t>
  </si>
  <si>
    <t>84</t>
  </si>
  <si>
    <t>Strugari (Strugari, Cetatuia, Iaz, Nadisa, Pietricica, Rachitisu)</t>
  </si>
  <si>
    <t>84.1</t>
  </si>
  <si>
    <t>84.2</t>
  </si>
  <si>
    <t>85</t>
  </si>
  <si>
    <t>Tamasi (Tamasi, Chetris, Furnicari)</t>
  </si>
  <si>
    <t>85.1</t>
  </si>
  <si>
    <t>85.2</t>
  </si>
  <si>
    <t>86</t>
  </si>
  <si>
    <t>Targu Trotus (Targu Trotus, Tuta, Viisoara)</t>
  </si>
  <si>
    <t>86.1</t>
  </si>
  <si>
    <t>86.2</t>
  </si>
  <si>
    <t>87</t>
  </si>
  <si>
    <t>Tatarasti (Tatarasti, Cornii de Jos, Cornii de Sus, Dragesti, Giurgeni, Gherdana, Ungureni)</t>
  </si>
  <si>
    <t>87.1</t>
  </si>
  <si>
    <t>87.2</t>
  </si>
  <si>
    <t>88</t>
  </si>
  <si>
    <t>88.1</t>
  </si>
  <si>
    <t>88.2</t>
  </si>
  <si>
    <t>Traian (Traian, Zapodia, Hertioana-Razesi, Hertioana de Jos, Bogdanesti)</t>
  </si>
  <si>
    <t>89</t>
  </si>
  <si>
    <t>89.1</t>
  </si>
  <si>
    <t>89.2</t>
  </si>
  <si>
    <t xml:space="preserve">Ungureni (Ungureni, Zlatari, Bartasesti, Bibiresti, Tociloasa, Botesti, Garla Anei, Viforeni) </t>
  </si>
  <si>
    <t>90</t>
  </si>
  <si>
    <t>90.1</t>
  </si>
  <si>
    <t>90.2</t>
  </si>
  <si>
    <t>Urechesti (Urechesti, Cornatel, Lunca Dochiei, Satu Nou, Slobozia)</t>
  </si>
  <si>
    <t>91</t>
  </si>
  <si>
    <t>91.1</t>
  </si>
  <si>
    <t>91.2</t>
  </si>
  <si>
    <t>Valea Seaca (Valea Seaca, Cucova)</t>
  </si>
  <si>
    <t>92</t>
  </si>
  <si>
    <t>92.1</t>
  </si>
  <si>
    <t>92.2</t>
  </si>
  <si>
    <t>Vultureni" (Vultureni, Lichitiseni, Bosia, Dadesti, Darneni, Ghilvesti, Godinestii de Jos, Godinestii de Sus, Medeleni, Nazaroaia, Reprivat, Tiganesti, Tomozia, Valea Lupului, Valea Merilor, Valea Salciei, Vultureni)</t>
  </si>
  <si>
    <t>93</t>
  </si>
  <si>
    <t>93.1</t>
  </si>
  <si>
    <t>93.2</t>
  </si>
  <si>
    <t>Zemes (Zemes, Bolatau)</t>
  </si>
  <si>
    <t>Judetul BACAU</t>
  </si>
  <si>
    <t>CURENTE-REAL</t>
  </si>
  <si>
    <t>Anexa 7 -1 Eșalonarea investitiilor (euro, preturi curente)</t>
  </si>
  <si>
    <t>Volum facturat-apa uzata</t>
  </si>
  <si>
    <t>Costuri variabile (total)</t>
  </si>
  <si>
    <t>Populatie racordata</t>
  </si>
  <si>
    <t>apa</t>
  </si>
  <si>
    <t>au</t>
  </si>
  <si>
    <t>operare</t>
  </si>
  <si>
    <t>inv</t>
  </si>
  <si>
    <t>OM&amp;A</t>
  </si>
  <si>
    <t>ReInv</t>
  </si>
  <si>
    <t>Investitia de baza</t>
  </si>
  <si>
    <t>Asistenta tehnica</t>
  </si>
  <si>
    <t>Publicitate si promovare</t>
  </si>
  <si>
    <t>PERSONAL</t>
  </si>
  <si>
    <t>factor crestere</t>
  </si>
  <si>
    <t>materiale</t>
  </si>
  <si>
    <t>energie</t>
  </si>
  <si>
    <t>Volum apă uzată</t>
  </si>
  <si>
    <t>Asistenta tehnică pentru managementul proiectului</t>
  </si>
  <si>
    <t xml:space="preserve">Publicitate </t>
  </si>
  <si>
    <t>etapa 2 (2014-2020)</t>
  </si>
  <si>
    <t>etapa 3 (2021-2027)</t>
  </si>
  <si>
    <t>etapa 4 (2028-2034)</t>
  </si>
  <si>
    <t>etapa V (&gt; 2035)</t>
  </si>
  <si>
    <t>Judetul COVASNA</t>
  </si>
  <si>
    <t>ETAPA 2</t>
  </si>
  <si>
    <t>ETAPA 3</t>
  </si>
  <si>
    <t>UAT Baraolt</t>
  </si>
  <si>
    <t>UAT Barcani</t>
  </si>
  <si>
    <t>UAT Batanii Mari</t>
  </si>
  <si>
    <t>UAT Arcus</t>
  </si>
  <si>
    <t>UAT Bradut</t>
  </si>
  <si>
    <t>UAT Bretcu</t>
  </si>
  <si>
    <t>UAT Cernat</t>
  </si>
  <si>
    <t>UAT Dalnic</t>
  </si>
  <si>
    <t>Alte fonduri -etapa II: 2014-2020</t>
  </si>
  <si>
    <t>UAT Dobarlau</t>
  </si>
  <si>
    <t>UAT Reci</t>
  </si>
  <si>
    <t>UAT Valcele</t>
  </si>
  <si>
    <t>Anexa 7.3.1. Plan de investitii pe termen lung</t>
  </si>
  <si>
    <t>COVASNA</t>
  </si>
  <si>
    <t>Costuri de investitie (Euro, preturi curente) pe etape si unitati administrativ teritoriale</t>
  </si>
  <si>
    <t xml:space="preserve">Costuri totale   </t>
  </si>
  <si>
    <t>2021 - 2027</t>
  </si>
  <si>
    <t>2028 - 2034</t>
  </si>
  <si>
    <t>&gt;2035</t>
  </si>
  <si>
    <t>POIM 2014-2020</t>
  </si>
  <si>
    <t>(Euro)</t>
  </si>
  <si>
    <t>Sfantu Gheorghe</t>
  </si>
  <si>
    <t>Tragu Secuiesc</t>
  </si>
  <si>
    <t>Covasna</t>
  </si>
  <si>
    <t>Intorsura Buzaului</t>
  </si>
  <si>
    <t>Baraolt</t>
  </si>
  <si>
    <t>Aita Mare</t>
  </si>
  <si>
    <t>Arcus</t>
  </si>
  <si>
    <t>Barcani</t>
  </si>
  <si>
    <t>Batani</t>
  </si>
  <si>
    <t>Belin</t>
  </si>
  <si>
    <t>Bixad</t>
  </si>
  <si>
    <t>Bodoc</t>
  </si>
  <si>
    <t>Borosneu Mare</t>
  </si>
  <si>
    <t>Brates</t>
  </si>
  <si>
    <t>Bradut</t>
  </si>
  <si>
    <t>Bretcu</t>
  </si>
  <si>
    <t>Catalina</t>
  </si>
  <si>
    <t>Cernat</t>
  </si>
  <si>
    <t>Chichis</t>
  </si>
  <si>
    <t>Comandau</t>
  </si>
  <si>
    <t>Dalnic</t>
  </si>
  <si>
    <t>Dobarlau</t>
  </si>
  <si>
    <t>Estelnic</t>
  </si>
  <si>
    <t>Ghelinta</t>
  </si>
  <si>
    <t>Ghidfalau</t>
  </si>
  <si>
    <t>Haghig</t>
  </si>
  <si>
    <t>Ilieni</t>
  </si>
  <si>
    <t>Lemnia</t>
  </si>
  <si>
    <t>Malnas</t>
  </si>
  <si>
    <t>Mereni</t>
  </si>
  <si>
    <t>Micfalau</t>
  </si>
  <si>
    <t>Moacsa</t>
  </si>
  <si>
    <t>Ojdula</t>
  </si>
  <si>
    <t>Ozun</t>
  </si>
  <si>
    <t>Poian</t>
  </si>
  <si>
    <t>Reci</t>
  </si>
  <si>
    <t>Sanzieni</t>
  </si>
  <si>
    <t>Sita Buzaului</t>
  </si>
  <si>
    <t>Turia</t>
  </si>
  <si>
    <t>Valea Crisului</t>
  </si>
  <si>
    <t>Valea Mare</t>
  </si>
  <si>
    <t>Valcele</t>
  </si>
  <si>
    <t>Varghis</t>
  </si>
  <si>
    <t>Zagon</t>
  </si>
  <si>
    <t>Zabala</t>
  </si>
  <si>
    <t>CJ Covasna</t>
  </si>
  <si>
    <t>FC</t>
  </si>
  <si>
    <t>Alte fonduri</t>
  </si>
  <si>
    <t>Total Judet</t>
  </si>
  <si>
    <t>Descriere</t>
  </si>
  <si>
    <t>Esalonare Investitie</t>
  </si>
  <si>
    <t>Rata inflatiei: cf. CNSP</t>
  </si>
  <si>
    <t>Februarie 2020</t>
  </si>
  <si>
    <t>Indice inflatie</t>
  </si>
  <si>
    <t>de introdus:</t>
  </si>
  <si>
    <t>DG CURENTE</t>
  </si>
  <si>
    <t>VALOARE DG constante</t>
  </si>
  <si>
    <t>INDICE CORECT</t>
  </si>
  <si>
    <t>Investitia  de baza, preturi curente (euro)</t>
  </si>
  <si>
    <t>Investitia de baza, preturi constante  (euro)</t>
  </si>
  <si>
    <t>Investitia totală, preturi curente (euro)</t>
  </si>
  <si>
    <t>Investitia totală, preturi constante (euro)</t>
  </si>
  <si>
    <t>Costuri intretinere-civile</t>
  </si>
  <si>
    <t>Costuri intretinere-echipamente</t>
  </si>
  <si>
    <t>Costuri intretinere-constructii civile</t>
  </si>
  <si>
    <t>pop conectata</t>
  </si>
  <si>
    <t>Județul Covasna</t>
  </si>
  <si>
    <t>Populatie conectata-apa</t>
  </si>
  <si>
    <t>nr</t>
  </si>
  <si>
    <t>CST</t>
  </si>
  <si>
    <t>CRT</t>
  </si>
  <si>
    <t>Indirecte</t>
  </si>
  <si>
    <t>etapa 2 (2014-2023)-alte fonduri</t>
  </si>
  <si>
    <t>etapa 2 (2021-2023)-POIM</t>
  </si>
  <si>
    <t>etapa 3 (2024-2027)</t>
  </si>
  <si>
    <t>Etapa III</t>
  </si>
  <si>
    <t>Etapa II-POIM</t>
  </si>
  <si>
    <t>Etapa II-Alte fonduri</t>
  </si>
  <si>
    <t>Etapa IV</t>
  </si>
  <si>
    <t>Cheltuieli cu darea in exploatare</t>
  </si>
  <si>
    <t>Cheltuieli asigurarea utilitatilor</t>
  </si>
  <si>
    <t>Organizare de santier</t>
  </si>
  <si>
    <t>Cheltuieli asigurare utilitati</t>
  </si>
  <si>
    <t>Estimare necesar de investiții pentru perioada 2021-2023 (POIM)</t>
  </si>
  <si>
    <t>Estimare necesar de investiții pentru perioada 2014-2023 (POIM si alte fonduri)</t>
  </si>
  <si>
    <t>din care POIM:</t>
  </si>
  <si>
    <t>Etapa II-Alte fonduri                                                                                         &gt;&gt; +++</t>
  </si>
  <si>
    <t>Etapa 2: 2014-2023, POIM si alte fonduri</t>
  </si>
  <si>
    <t>Etapa 4: 2028-2034 (euro)</t>
  </si>
  <si>
    <t>Etapa 3: 2024 - 2027 (euro)</t>
  </si>
  <si>
    <t>Investitia de baza, preturi curente  (euro)</t>
  </si>
  <si>
    <t>Investitia totală, preturi curente  (euro)</t>
  </si>
  <si>
    <t>Costuri intretinere (c.civile si echipamente)</t>
  </si>
  <si>
    <t>Volum de apa uzata epurata</t>
  </si>
  <si>
    <t>Costuri operare si intretinere</t>
  </si>
  <si>
    <t>CURS VALUTAR</t>
  </si>
  <si>
    <t>Anexa G-6 Eșalonarea investitiilor (euro, preturi constante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</si>
</sst>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_-;\-* #,##0.00_-;_-* &quot;-&quot;??_-;_-@_-"/>
    <numFmt numFmtId="164" formatCode="_(* #,##0.00_);_(* \(#,##0.00\);_(* &quot;-&quot;??_);_(@_)"/>
    <numFmt numFmtId="165" formatCode="_-* #,##0.00\ &quot;lei&quot;_-;\-* #,##0.00\ &quot;lei&quot;_-;_-* &quot;-&quot;??\ &quot;lei&quot;_-;_-@_-"/>
    <numFmt numFmtId="166" formatCode="_-* #,##0.00\ _l_e_i_-;\-* #,##0.00\ _l_e_i_-;_-* &quot;-&quot;??\ _l_e_i_-;_-@_-"/>
    <numFmt numFmtId="167" formatCode="0.0%"/>
    <numFmt numFmtId="168" formatCode="_(* #,##0.000000_);_(* \(#,##0.000000\);_(* &quot;-&quot;??_);_(@_)"/>
    <numFmt numFmtId="169" formatCode="_-* #,##0\ &quot;€&quot;_-;\-* #,##0\ &quot;€&quot;_-;_-* &quot;-&quot;\ &quot;€&quot;_-;_-@_-"/>
    <numFmt numFmtId="170" formatCode="_ &quot;€&quot;* #,##0.00_ ;_ &quot;€&quot;* \-#,##0.00_ ;_ &quot;€&quot;* &quot;-&quot;??_ ;_ @_ "/>
    <numFmt numFmtId="171" formatCode="\$#,##0\ ;\(\$#,##0\)"/>
    <numFmt numFmtId="172" formatCode="_-* #,##0\ _l_e_i_-;\-* #,##0\ _l_e_i_-;_-* &quot;-&quot;??\ _l_e_i_-;_-@_-"/>
    <numFmt numFmtId="173" formatCode="0.000"/>
    <numFmt numFmtId="174" formatCode="_-* #,##0.000\ _l_e_i_-;\-* #,##0.000\ _l_e_i_-;_-* &quot;-&quot;???\ _l_e_i_-;_-@_-"/>
    <numFmt numFmtId="175" formatCode="0.000000%"/>
    <numFmt numFmtId="176" formatCode="0.000000000%"/>
    <numFmt numFmtId="177" formatCode="0.00000000%"/>
    <numFmt numFmtId="178" formatCode="0.00000%"/>
    <numFmt numFmtId="179" formatCode="0.0000%"/>
    <numFmt numFmtId="180" formatCode="_-* #,##0.0000\ _l_e_i_-;\-* #,##0.0000\ _l_e_i_-;_-* &quot;-&quot;????\ _l_e_i_-;_-@_-"/>
    <numFmt numFmtId="181" formatCode="0.0"/>
    <numFmt numFmtId="182" formatCode="0.0000"/>
    <numFmt numFmtId="183" formatCode="#,##0.0"/>
    <numFmt numFmtId="184" formatCode="_-* #,##0.0000\ _l_e_i_-;\-* #,##0.0000\ _l_e_i_-;_-* &quot;-&quot;??\ _l_e_i_-;_-@_-"/>
    <numFmt numFmtId="185" formatCode="_-* #,##0\ _l_e_i_-;\-* #,##0\ _l_e_i_-;_-* &quot;-&quot;????\ _l_e_i_-;_-@_-"/>
    <numFmt numFmtId="186" formatCode="0.000%"/>
    <numFmt numFmtId="187" formatCode="_-* #,##0.00000\ _l_e_i_-;\-* #,##0.00000\ _l_e_i_-;_-* &quot;-&quot;??\ _l_e_i_-;_-@_-"/>
    <numFmt numFmtId="188" formatCode="_(* #,##0.00000_);_(* \(#,##0.00000\);_(* &quot;-&quot;??_);_(@_)"/>
    <numFmt numFmtId="189" formatCode="#,##0.000"/>
  </numFmts>
  <fonts count="8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</font>
    <font>
      <sz val="10"/>
      <color indexed="24"/>
      <name val="MS Sans Serif"/>
      <family val="2"/>
    </font>
    <font>
      <sz val="11"/>
      <color indexed="8"/>
      <name val="Calibri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0"/>
      <name val="Calibri"/>
      <family val="2"/>
      <charset val="238"/>
      <scheme val="minor"/>
    </font>
    <font>
      <b/>
      <sz val="12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</font>
    <font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name val="Arial"/>
      <family val="2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Verdana"/>
      <family val="2"/>
      <charset val="238"/>
    </font>
    <font>
      <b/>
      <sz val="1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8EDF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medium">
        <color indexed="64"/>
      </top>
      <bottom/>
      <diagonal/>
    </border>
    <border>
      <left style="thin">
        <color rgb="FFFF0000"/>
      </left>
      <right style="thin">
        <color rgb="FFFF0000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FF0000"/>
      </left>
      <right/>
      <top style="medium">
        <color indexed="64"/>
      </top>
      <bottom/>
      <diagonal/>
    </border>
    <border>
      <left/>
      <right style="thin">
        <color rgb="FFFF0000"/>
      </right>
      <top style="medium">
        <color indexed="64"/>
      </top>
      <bottom/>
      <diagonal/>
    </border>
    <border>
      <left style="thin">
        <color rgb="FFFF0000"/>
      </left>
      <right/>
      <top/>
      <bottom style="medium">
        <color indexed="64"/>
      </bottom>
      <diagonal/>
    </border>
    <border>
      <left/>
      <right style="thin">
        <color rgb="FFFF000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8" fillId="0" borderId="0"/>
    <xf numFmtId="0" fontId="2" fillId="0" borderId="0"/>
    <xf numFmtId="9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3" fontId="16" fillId="0" borderId="0" applyFont="0" applyFill="0" applyBorder="0" applyAlignment="0" applyProtection="0"/>
    <xf numFmtId="1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10" fillId="0" borderId="0"/>
    <xf numFmtId="0" fontId="10" fillId="0" borderId="0"/>
    <xf numFmtId="0" fontId="6" fillId="0" borderId="0"/>
    <xf numFmtId="0" fontId="6" fillId="0" borderId="0"/>
    <xf numFmtId="0" fontId="17" fillId="0" borderId="0"/>
    <xf numFmtId="0" fontId="2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4" fontId="10" fillId="0" borderId="0"/>
  </cellStyleXfs>
  <cellXfs count="759">
    <xf numFmtId="0" fontId="0" fillId="0" borderId="0" xfId="0"/>
    <xf numFmtId="0" fontId="7" fillId="0" borderId="0" xfId="4" applyFont="1"/>
    <xf numFmtId="0" fontId="6" fillId="0" borderId="0" xfId="4"/>
    <xf numFmtId="0" fontId="2" fillId="0" borderId="0" xfId="5" applyFont="1"/>
    <xf numFmtId="0" fontId="9" fillId="0" borderId="0" xfId="6" applyFont="1"/>
    <xf numFmtId="0" fontId="3" fillId="0" borderId="0" xfId="5" applyFont="1"/>
    <xf numFmtId="0" fontId="2" fillId="0" borderId="0" xfId="6"/>
    <xf numFmtId="0" fontId="11" fillId="0" borderId="0" xfId="5" applyFont="1"/>
    <xf numFmtId="0" fontId="12" fillId="0" borderId="0" xfId="6" applyFont="1"/>
    <xf numFmtId="0" fontId="13" fillId="0" borderId="0" xfId="5" applyFont="1"/>
    <xf numFmtId="2" fontId="3" fillId="0" borderId="0" xfId="6" applyNumberFormat="1" applyFont="1"/>
    <xf numFmtId="0" fontId="3" fillId="0" borderId="0" xfId="6" applyFont="1"/>
    <xf numFmtId="166" fontId="0" fillId="0" borderId="0" xfId="8" applyFont="1"/>
    <xf numFmtId="0" fontId="2" fillId="0" borderId="0" xfId="6" applyFill="1"/>
    <xf numFmtId="0" fontId="2" fillId="0" borderId="0" xfId="5" applyFont="1" applyFill="1"/>
    <xf numFmtId="10" fontId="2" fillId="0" borderId="0" xfId="7" applyNumberFormat="1" applyFont="1" applyFill="1"/>
    <xf numFmtId="0" fontId="8" fillId="0" borderId="0" xfId="9" applyFont="1"/>
    <xf numFmtId="0" fontId="8" fillId="0" borderId="7" xfId="9" applyFont="1" applyBorder="1"/>
    <xf numFmtId="10" fontId="5" fillId="2" borderId="1" xfId="10" applyNumberFormat="1" applyFont="1" applyFill="1" applyBorder="1"/>
    <xf numFmtId="10" fontId="5" fillId="3" borderId="1" xfId="10" applyNumberFormat="1" applyFont="1" applyFill="1" applyBorder="1"/>
    <xf numFmtId="164" fontId="5" fillId="0" borderId="1" xfId="10" applyNumberFormat="1" applyFont="1" applyFill="1" applyBorder="1" applyProtection="1">
      <protection locked="0"/>
    </xf>
    <xf numFmtId="164" fontId="5" fillId="3" borderId="1" xfId="10" applyNumberFormat="1" applyFont="1" applyFill="1" applyBorder="1" applyProtection="1">
      <protection locked="0"/>
    </xf>
    <xf numFmtId="167" fontId="5" fillId="2" borderId="1" xfId="11" applyNumberFormat="1" applyFont="1" applyFill="1" applyBorder="1" applyProtection="1">
      <protection locked="0"/>
    </xf>
    <xf numFmtId="167" fontId="5" fillId="3" borderId="1" xfId="11" applyNumberFormat="1" applyFont="1" applyFill="1" applyBorder="1" applyProtection="1">
      <protection locked="0"/>
    </xf>
    <xf numFmtId="168" fontId="4" fillId="0" borderId="0" xfId="10" applyNumberFormat="1" applyFont="1"/>
    <xf numFmtId="168" fontId="15" fillId="0" borderId="0" xfId="10" applyNumberFormat="1" applyFont="1"/>
    <xf numFmtId="0" fontId="0" fillId="0" borderId="0" xfId="5" applyFont="1"/>
    <xf numFmtId="0" fontId="0" fillId="0" borderId="0" xfId="6" applyFont="1" applyFill="1"/>
    <xf numFmtId="10" fontId="6" fillId="0" borderId="0" xfId="2" applyNumberFormat="1" applyFont="1"/>
    <xf numFmtId="10" fontId="0" fillId="0" borderId="0" xfId="2" applyNumberFormat="1" applyFont="1" applyFill="1"/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3" fillId="0" borderId="0" xfId="0" applyFont="1"/>
    <xf numFmtId="0" fontId="0" fillId="0" borderId="15" xfId="0" applyBorder="1"/>
    <xf numFmtId="0" fontId="0" fillId="0" borderId="17" xfId="0" applyBorder="1"/>
    <xf numFmtId="0" fontId="0" fillId="0" borderId="27" xfId="0" applyBorder="1"/>
    <xf numFmtId="0" fontId="0" fillId="0" borderId="0" xfId="0"/>
    <xf numFmtId="172" fontId="0" fillId="0" borderId="0" xfId="1" applyNumberFormat="1" applyFont="1"/>
    <xf numFmtId="166" fontId="0" fillId="0" borderId="0" xfId="0" applyNumberFormat="1"/>
    <xf numFmtId="0" fontId="22" fillId="0" borderId="0" xfId="0" applyFont="1"/>
    <xf numFmtId="0" fontId="21" fillId="0" borderId="0" xfId="47" applyFont="1" applyBorder="1"/>
    <xf numFmtId="0" fontId="21" fillId="0" borderId="32" xfId="47" applyFont="1" applyBorder="1"/>
    <xf numFmtId="0" fontId="21" fillId="0" borderId="0" xfId="47" applyFont="1" applyBorder="1" applyAlignment="1">
      <alignment horizontal="center"/>
    </xf>
    <xf numFmtId="3" fontId="23" fillId="6" borderId="0" xfId="4" applyNumberFormat="1" applyFont="1" applyFill="1" applyBorder="1" applyAlignment="1">
      <alignment horizontal="center" wrapText="1"/>
    </xf>
    <xf numFmtId="3" fontId="21" fillId="0" borderId="0" xfId="47" applyNumberFormat="1" applyFont="1" applyBorder="1"/>
    <xf numFmtId="0" fontId="21" fillId="0" borderId="34" xfId="47" applyFont="1" applyBorder="1" applyAlignment="1">
      <alignment vertical="center"/>
    </xf>
    <xf numFmtId="0" fontId="21" fillId="0" borderId="0" xfId="47" applyFont="1" applyBorder="1" applyAlignment="1">
      <alignment vertical="center"/>
    </xf>
    <xf numFmtId="3" fontId="20" fillId="6" borderId="36" xfId="4" applyNumberFormat="1" applyFont="1" applyFill="1" applyBorder="1" applyAlignment="1">
      <alignment horizontal="center" vertical="center" wrapText="1"/>
    </xf>
    <xf numFmtId="0" fontId="20" fillId="0" borderId="38" xfId="47" applyFont="1" applyBorder="1"/>
    <xf numFmtId="0" fontId="20" fillId="0" borderId="0" xfId="47" applyFont="1" applyBorder="1"/>
    <xf numFmtId="3" fontId="20" fillId="0" borderId="0" xfId="47" applyNumberFormat="1" applyFont="1" applyBorder="1"/>
    <xf numFmtId="0" fontId="20" fillId="0" borderId="39" xfId="47" applyFont="1" applyBorder="1"/>
    <xf numFmtId="0" fontId="21" fillId="0" borderId="1" xfId="4" applyFont="1" applyBorder="1" applyAlignment="1">
      <alignment vertical="center" wrapText="1"/>
    </xf>
    <xf numFmtId="3" fontId="20" fillId="0" borderId="34" xfId="47" applyNumberFormat="1" applyFont="1" applyBorder="1"/>
    <xf numFmtId="3" fontId="20" fillId="0" borderId="1" xfId="4" applyNumberFormat="1" applyFont="1" applyFill="1" applyBorder="1" applyAlignment="1">
      <alignment vertical="center" wrapText="1"/>
    </xf>
    <xf numFmtId="0" fontId="20" fillId="0" borderId="40" xfId="47" applyFont="1" applyBorder="1"/>
    <xf numFmtId="3" fontId="20" fillId="0" borderId="41" xfId="47" applyNumberFormat="1" applyFont="1" applyBorder="1"/>
    <xf numFmtId="0" fontId="10" fillId="0" borderId="0" xfId="47" applyFont="1"/>
    <xf numFmtId="0" fontId="10" fillId="0" borderId="0" xfId="47" applyFont="1" applyBorder="1"/>
    <xf numFmtId="0" fontId="24" fillId="0" borderId="0" xfId="47" applyFont="1" applyAlignment="1">
      <alignment horizontal="center" wrapText="1"/>
    </xf>
    <xf numFmtId="49" fontId="24" fillId="0" borderId="0" xfId="4" applyNumberFormat="1" applyFont="1" applyBorder="1" applyAlignment="1">
      <alignment horizontal="left" vertical="center"/>
    </xf>
    <xf numFmtId="0" fontId="25" fillId="0" borderId="0" xfId="47" applyFont="1" applyAlignment="1">
      <alignment horizontal="left" wrapText="1"/>
    </xf>
    <xf numFmtId="0" fontId="21" fillId="0" borderId="0" xfId="4" applyFont="1"/>
    <xf numFmtId="0" fontId="21" fillId="0" borderId="0" xfId="4" applyFont="1" applyBorder="1"/>
    <xf numFmtId="0" fontId="20" fillId="0" borderId="0" xfId="4" applyFont="1" applyAlignment="1">
      <alignment horizontal="center" wrapText="1"/>
    </xf>
    <xf numFmtId="49" fontId="24" fillId="0" borderId="0" xfId="4" applyNumberFormat="1" applyFont="1" applyBorder="1" applyAlignment="1">
      <alignment horizontal="center" vertical="center"/>
    </xf>
    <xf numFmtId="3" fontId="0" fillId="0" borderId="1" xfId="0" applyNumberFormat="1" applyBorder="1"/>
    <xf numFmtId="3" fontId="0" fillId="0" borderId="15" xfId="0" applyNumberFormat="1" applyBorder="1"/>
    <xf numFmtId="0" fontId="0" fillId="0" borderId="14" xfId="0" applyBorder="1"/>
    <xf numFmtId="3" fontId="0" fillId="0" borderId="17" xfId="0" applyNumberFormat="1" applyBorder="1"/>
    <xf numFmtId="0" fontId="3" fillId="0" borderId="11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166" fontId="0" fillId="0" borderId="1" xfId="1" applyFont="1" applyBorder="1"/>
    <xf numFmtId="166" fontId="0" fillId="0" borderId="3" xfId="1" applyFont="1" applyBorder="1"/>
    <xf numFmtId="0" fontId="0" fillId="0" borderId="11" xfId="0" applyBorder="1"/>
    <xf numFmtId="166" fontId="0" fillId="0" borderId="4" xfId="1" applyFont="1" applyBorder="1"/>
    <xf numFmtId="166" fontId="0" fillId="0" borderId="5" xfId="1" applyFont="1" applyBorder="1"/>
    <xf numFmtId="172" fontId="0" fillId="0" borderId="1" xfId="1" applyNumberFormat="1" applyFont="1" applyBorder="1"/>
    <xf numFmtId="172" fontId="0" fillId="0" borderId="1" xfId="0" applyNumberFormat="1" applyBorder="1"/>
    <xf numFmtId="172" fontId="0" fillId="0" borderId="3" xfId="0" applyNumberFormat="1" applyBorder="1"/>
    <xf numFmtId="172" fontId="0" fillId="0" borderId="4" xfId="1" applyNumberFormat="1" applyFont="1" applyBorder="1"/>
    <xf numFmtId="172" fontId="0" fillId="0" borderId="4" xfId="0" applyNumberFormat="1" applyBorder="1"/>
    <xf numFmtId="172" fontId="0" fillId="0" borderId="5" xfId="0" applyNumberFormat="1" applyBorder="1"/>
    <xf numFmtId="172" fontId="0" fillId="0" borderId="15" xfId="1" applyNumberFormat="1" applyFont="1" applyBorder="1"/>
    <xf numFmtId="172" fontId="0" fillId="0" borderId="15" xfId="0" applyNumberFormat="1" applyBorder="1"/>
    <xf numFmtId="172" fontId="0" fillId="0" borderId="17" xfId="0" applyNumberFormat="1" applyBorder="1"/>
    <xf numFmtId="0" fontId="0" fillId="0" borderId="33" xfId="0" applyBorder="1"/>
    <xf numFmtId="0" fontId="0" fillId="0" borderId="46" xfId="0" applyBorder="1"/>
    <xf numFmtId="0" fontId="0" fillId="0" borderId="7" xfId="0" applyBorder="1"/>
    <xf numFmtId="0" fontId="0" fillId="0" borderId="4" xfId="0" applyBorder="1"/>
    <xf numFmtId="0" fontId="0" fillId="0" borderId="0" xfId="0"/>
    <xf numFmtId="172" fontId="3" fillId="0" borderId="1" xfId="1" applyNumberFormat="1" applyFont="1" applyBorder="1"/>
    <xf numFmtId="0" fontId="3" fillId="0" borderId="1" xfId="0" applyFont="1" applyBorder="1"/>
    <xf numFmtId="0" fontId="3" fillId="0" borderId="2" xfId="0" applyFont="1" applyBorder="1"/>
    <xf numFmtId="0" fontId="0" fillId="0" borderId="10" xfId="0" applyBorder="1"/>
    <xf numFmtId="3" fontId="0" fillId="0" borderId="13" xfId="0" applyNumberFormat="1" applyBorder="1"/>
    <xf numFmtId="172" fontId="0" fillId="0" borderId="3" xfId="1" applyNumberFormat="1" applyFont="1" applyBorder="1"/>
    <xf numFmtId="3" fontId="0" fillId="0" borderId="0" xfId="0" applyNumberFormat="1"/>
    <xf numFmtId="0" fontId="20" fillId="6" borderId="7" xfId="4" applyFont="1" applyFill="1" applyBorder="1" applyAlignment="1">
      <alignment horizontal="center" vertical="center" wrapText="1"/>
    </xf>
    <xf numFmtId="0" fontId="3" fillId="8" borderId="0" xfId="5" applyFont="1" applyFill="1"/>
    <xf numFmtId="0" fontId="9" fillId="8" borderId="0" xfId="6" applyFont="1" applyFill="1"/>
    <xf numFmtId="9" fontId="3" fillId="0" borderId="0" xfId="0" applyNumberFormat="1" applyFont="1"/>
    <xf numFmtId="0" fontId="11" fillId="0" borderId="0" xfId="9" applyFont="1"/>
    <xf numFmtId="0" fontId="6" fillId="0" borderId="33" xfId="4" applyBorder="1"/>
    <xf numFmtId="0" fontId="6" fillId="0" borderId="51" xfId="4" applyBorder="1"/>
    <xf numFmtId="0" fontId="11" fillId="0" borderId="52" xfId="6" applyFont="1" applyFill="1" applyBorder="1"/>
    <xf numFmtId="0" fontId="6" fillId="0" borderId="0" xfId="4" applyBorder="1"/>
    <xf numFmtId="0" fontId="11" fillId="0" borderId="45" xfId="6" applyFont="1" applyFill="1" applyBorder="1"/>
    <xf numFmtId="0" fontId="6" fillId="0" borderId="46" xfId="4" applyBorder="1"/>
    <xf numFmtId="0" fontId="3" fillId="0" borderId="44" xfId="6" applyFont="1" applyFill="1" applyBorder="1" applyAlignment="1">
      <alignment wrapText="1"/>
    </xf>
    <xf numFmtId="0" fontId="6" fillId="0" borderId="53" xfId="4" applyBorder="1" applyAlignment="1">
      <alignment horizontal="center"/>
    </xf>
    <xf numFmtId="0" fontId="6" fillId="0" borderId="54" xfId="4" applyBorder="1" applyAlignment="1">
      <alignment horizontal="center"/>
    </xf>
    <xf numFmtId="0" fontId="13" fillId="0" borderId="0" xfId="9" applyFont="1"/>
    <xf numFmtId="9" fontId="13" fillId="0" borderId="0" xfId="9" applyNumberFormat="1" applyFont="1"/>
    <xf numFmtId="0" fontId="2" fillId="0" borderId="51" xfId="5" applyFont="1" applyBorder="1"/>
    <xf numFmtId="10" fontId="2" fillId="0" borderId="52" xfId="7" applyNumberFormat="1" applyFont="1" applyBorder="1"/>
    <xf numFmtId="0" fontId="2" fillId="0" borderId="53" xfId="5" applyFont="1" applyBorder="1"/>
    <xf numFmtId="0" fontId="2" fillId="0" borderId="52" xfId="5" applyFont="1" applyBorder="1"/>
    <xf numFmtId="0" fontId="2" fillId="0" borderId="45" xfId="5" applyFont="1" applyBorder="1"/>
    <xf numFmtId="0" fontId="2" fillId="0" borderId="54" xfId="5" applyFont="1" applyBorder="1"/>
    <xf numFmtId="0" fontId="2" fillId="0" borderId="0" xfId="5" applyFont="1" applyBorder="1"/>
    <xf numFmtId="2" fontId="2" fillId="0" borderId="53" xfId="5" applyNumberFormat="1" applyFont="1" applyBorder="1"/>
    <xf numFmtId="0" fontId="11" fillId="0" borderId="0" xfId="5" applyFont="1" applyBorder="1"/>
    <xf numFmtId="2" fontId="11" fillId="0" borderId="53" xfId="5" applyNumberFormat="1" applyFont="1" applyBorder="1"/>
    <xf numFmtId="0" fontId="13" fillId="0" borderId="0" xfId="5" applyFont="1" applyBorder="1"/>
    <xf numFmtId="2" fontId="3" fillId="0" borderId="53" xfId="6" applyNumberFormat="1" applyFont="1" applyBorder="1"/>
    <xf numFmtId="0" fontId="13" fillId="0" borderId="46" xfId="5" applyFont="1" applyBorder="1"/>
    <xf numFmtId="2" fontId="3" fillId="0" borderId="54" xfId="6" applyNumberFormat="1" applyFont="1" applyBorder="1"/>
    <xf numFmtId="0" fontId="7" fillId="0" borderId="55" xfId="4" applyFont="1" applyBorder="1"/>
    <xf numFmtId="4" fontId="2" fillId="0" borderId="52" xfId="5" applyNumberFormat="1" applyFont="1" applyBorder="1" applyAlignment="1">
      <alignment horizontal="center"/>
    </xf>
    <xf numFmtId="10" fontId="26" fillId="0" borderId="44" xfId="2" applyNumberFormat="1" applyFont="1" applyBorder="1"/>
    <xf numFmtId="0" fontId="13" fillId="0" borderId="52" xfId="6" applyFont="1" applyFill="1" applyBorder="1"/>
    <xf numFmtId="0" fontId="7" fillId="0" borderId="0" xfId="4" applyFont="1" applyBorder="1"/>
    <xf numFmtId="0" fontId="7" fillId="0" borderId="53" xfId="4" applyFont="1" applyBorder="1" applyAlignment="1">
      <alignment horizontal="center"/>
    </xf>
    <xf numFmtId="4" fontId="2" fillId="0" borderId="52" xfId="5" applyNumberFormat="1" applyFont="1" applyFill="1" applyBorder="1" applyAlignment="1">
      <alignment horizontal="center"/>
    </xf>
    <xf numFmtId="4" fontId="2" fillId="0" borderId="0" xfId="5" applyNumberFormat="1" applyFont="1"/>
    <xf numFmtId="2" fontId="2" fillId="0" borderId="52" xfId="5" applyNumberFormat="1" applyFont="1" applyFill="1" applyBorder="1"/>
    <xf numFmtId="2" fontId="26" fillId="0" borderId="53" xfId="5" applyNumberFormat="1" applyFont="1" applyBorder="1"/>
    <xf numFmtId="0" fontId="27" fillId="0" borderId="44" xfId="5" applyFont="1" applyBorder="1" applyAlignment="1">
      <alignment horizontal="center"/>
    </xf>
    <xf numFmtId="0" fontId="27" fillId="0" borderId="33" xfId="6" applyFont="1" applyBorder="1" applyAlignment="1">
      <alignment horizontal="center"/>
    </xf>
    <xf numFmtId="0" fontId="27" fillId="0" borderId="51" xfId="5" applyFont="1" applyBorder="1" applyAlignment="1">
      <alignment horizontal="center"/>
    </xf>
    <xf numFmtId="10" fontId="11" fillId="0" borderId="0" xfId="7" applyNumberFormat="1" applyFont="1"/>
    <xf numFmtId="4" fontId="13" fillId="0" borderId="52" xfId="5" applyNumberFormat="1" applyFont="1" applyFill="1" applyBorder="1" applyAlignment="1">
      <alignment horizontal="center"/>
    </xf>
    <xf numFmtId="4" fontId="13" fillId="0" borderId="45" xfId="5" applyNumberFormat="1" applyFont="1" applyFill="1" applyBorder="1" applyAlignment="1">
      <alignment horizontal="center"/>
    </xf>
    <xf numFmtId="17" fontId="6" fillId="0" borderId="0" xfId="4" applyNumberFormat="1"/>
    <xf numFmtId="4" fontId="6" fillId="0" borderId="0" xfId="4" applyNumberFormat="1"/>
    <xf numFmtId="4" fontId="28" fillId="0" borderId="0" xfId="4" applyNumberFormat="1" applyFont="1"/>
    <xf numFmtId="164" fontId="14" fillId="0" borderId="1" xfId="10" applyNumberFormat="1" applyFont="1" applyBorder="1"/>
    <xf numFmtId="0" fontId="8" fillId="0" borderId="10" xfId="9" applyFont="1" applyBorder="1"/>
    <xf numFmtId="0" fontId="8" fillId="0" borderId="2" xfId="9" applyFont="1" applyBorder="1"/>
    <xf numFmtId="0" fontId="8" fillId="0" borderId="11" xfId="9" applyFont="1" applyBorder="1" applyAlignment="1">
      <alignment wrapText="1"/>
    </xf>
    <xf numFmtId="0" fontId="0" fillId="0" borderId="0" xfId="0"/>
    <xf numFmtId="0" fontId="20" fillId="6" borderId="13" xfId="4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center" vertical="center" wrapText="1"/>
    </xf>
    <xf numFmtId="0" fontId="20" fillId="6" borderId="23" xfId="4" applyFont="1" applyFill="1" applyBorder="1" applyAlignment="1">
      <alignment horizontal="center" vertical="center" wrapText="1"/>
    </xf>
    <xf numFmtId="49" fontId="20" fillId="6" borderId="26" xfId="4" applyNumberFormat="1" applyFont="1" applyFill="1" applyBorder="1" applyAlignment="1">
      <alignment horizontal="center" vertical="center"/>
    </xf>
    <xf numFmtId="0" fontId="20" fillId="6" borderId="19" xfId="4" applyFont="1" applyFill="1" applyBorder="1" applyAlignment="1">
      <alignment horizontal="left" vertical="center" wrapText="1"/>
    </xf>
    <xf numFmtId="3" fontId="20" fillId="6" borderId="57" xfId="4" applyNumberFormat="1" applyFont="1" applyFill="1" applyBorder="1" applyAlignment="1">
      <alignment horizontal="center" vertical="center" wrapText="1"/>
    </xf>
    <xf numFmtId="3" fontId="20" fillId="0" borderId="1" xfId="4" applyNumberFormat="1" applyFont="1" applyFill="1" applyBorder="1" applyAlignment="1">
      <alignment horizontal="center" vertical="center"/>
    </xf>
    <xf numFmtId="49" fontId="21" fillId="0" borderId="1" xfId="4" applyNumberFormat="1" applyFont="1" applyBorder="1" applyAlignment="1">
      <alignment horizontal="center" vertical="center"/>
    </xf>
    <xf numFmtId="49" fontId="20" fillId="0" borderId="1" xfId="4" applyNumberFormat="1" applyFont="1" applyBorder="1" applyAlignment="1">
      <alignment horizontal="center" vertical="center"/>
    </xf>
    <xf numFmtId="3" fontId="30" fillId="0" borderId="0" xfId="47" applyNumberFormat="1" applyFont="1" applyBorder="1"/>
    <xf numFmtId="3" fontId="20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9" fontId="29" fillId="0" borderId="1" xfId="4" applyNumberFormat="1" applyFont="1" applyBorder="1" applyAlignment="1">
      <alignment horizontal="center" vertical="center"/>
    </xf>
    <xf numFmtId="0" fontId="29" fillId="0" borderId="1" xfId="4" applyFont="1" applyBorder="1" applyAlignment="1">
      <alignment vertical="center" wrapText="1"/>
    </xf>
    <xf numFmtId="0" fontId="0" fillId="9" borderId="0" xfId="0" applyFill="1"/>
    <xf numFmtId="0" fontId="9" fillId="9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3" fillId="0" borderId="1" xfId="9" applyFont="1" applyBorder="1" applyAlignment="1">
      <alignment horizontal="center" vertical="center"/>
    </xf>
    <xf numFmtId="0" fontId="3" fillId="3" borderId="1" xfId="9" applyFont="1" applyFill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8" fillId="3" borderId="7" xfId="9" applyFont="1" applyFill="1" applyBorder="1" applyAlignment="1">
      <alignment horizontal="center" vertical="center"/>
    </xf>
    <xf numFmtId="0" fontId="8" fillId="4" borderId="7" xfId="9" applyFont="1" applyFill="1" applyBorder="1" applyAlignment="1">
      <alignment horizontal="center" vertical="center"/>
    </xf>
    <xf numFmtId="0" fontId="8" fillId="0" borderId="7" xfId="9" applyFont="1" applyBorder="1" applyAlignment="1">
      <alignment horizontal="center" vertical="center"/>
    </xf>
    <xf numFmtId="0" fontId="6" fillId="0" borderId="8" xfId="4" applyBorder="1" applyAlignment="1">
      <alignment horizontal="center" vertical="center"/>
    </xf>
    <xf numFmtId="0" fontId="0" fillId="0" borderId="0" xfId="0" applyAlignment="1">
      <alignment horizontal="center" vertical="center"/>
    </xf>
    <xf numFmtId="172" fontId="0" fillId="0" borderId="0" xfId="0" applyNumberFormat="1"/>
    <xf numFmtId="3" fontId="0" fillId="0" borderId="1" xfId="0" applyNumberFormat="1" applyFill="1" applyBorder="1"/>
    <xf numFmtId="0" fontId="0" fillId="0" borderId="22" xfId="0" applyBorder="1"/>
    <xf numFmtId="172" fontId="3" fillId="0" borderId="7" xfId="1" applyNumberFormat="1" applyFont="1" applyBorder="1"/>
    <xf numFmtId="172" fontId="0" fillId="0" borderId="7" xfId="1" applyNumberFormat="1" applyFont="1" applyBorder="1"/>
    <xf numFmtId="172" fontId="0" fillId="0" borderId="8" xfId="1" applyNumberFormat="1" applyFont="1" applyBorder="1"/>
    <xf numFmtId="172" fontId="3" fillId="0" borderId="4" xfId="1" applyNumberFormat="1" applyFont="1" applyBorder="1"/>
    <xf numFmtId="166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72" fontId="3" fillId="0" borderId="1" xfId="1" applyNumberFormat="1" applyFont="1" applyBorder="1" applyAlignment="1">
      <alignment horizontal="center"/>
    </xf>
    <xf numFmtId="172" fontId="3" fillId="0" borderId="3" xfId="1" applyNumberFormat="1" applyFont="1" applyBorder="1" applyAlignment="1">
      <alignment horizontal="center"/>
    </xf>
    <xf numFmtId="172" fontId="0" fillId="0" borderId="1" xfId="1" applyNumberFormat="1" applyFont="1" applyBorder="1" applyAlignment="1">
      <alignment horizontal="center" vertical="center"/>
    </xf>
    <xf numFmtId="166" fontId="0" fillId="0" borderId="1" xfId="1" applyFont="1" applyBorder="1" applyAlignment="1">
      <alignment horizontal="center" vertical="center"/>
    </xf>
    <xf numFmtId="166" fontId="0" fillId="0" borderId="1" xfId="1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7" xfId="1" applyFont="1" applyBorder="1" applyAlignment="1">
      <alignment horizontal="center" vertical="center"/>
    </xf>
    <xf numFmtId="166" fontId="0" fillId="0" borderId="8" xfId="1" applyFont="1" applyBorder="1" applyAlignment="1">
      <alignment horizontal="center" vertical="center"/>
    </xf>
    <xf numFmtId="166" fontId="0" fillId="0" borderId="3" xfId="1" applyFont="1" applyBorder="1" applyAlignment="1">
      <alignment horizontal="center" vertical="center"/>
    </xf>
    <xf numFmtId="9" fontId="26" fillId="0" borderId="0" xfId="0" applyNumberFormat="1" applyFont="1" applyAlignment="1">
      <alignment horizontal="center" vertical="center"/>
    </xf>
    <xf numFmtId="9" fontId="0" fillId="0" borderId="0" xfId="2" applyFont="1"/>
    <xf numFmtId="0" fontId="0" fillId="0" borderId="13" xfId="0" applyBorder="1" applyAlignment="1">
      <alignment horizontal="center"/>
    </xf>
    <xf numFmtId="166" fontId="0" fillId="0" borderId="13" xfId="1" applyFont="1" applyBorder="1" applyAlignment="1">
      <alignment horizontal="center" vertical="center"/>
    </xf>
    <xf numFmtId="166" fontId="0" fillId="0" borderId="23" xfId="1" applyFont="1" applyBorder="1" applyAlignment="1">
      <alignment horizontal="center" vertical="center"/>
    </xf>
    <xf numFmtId="0" fontId="0" fillId="0" borderId="0" xfId="0" applyBorder="1"/>
    <xf numFmtId="0" fontId="0" fillId="0" borderId="47" xfId="0" applyBorder="1"/>
    <xf numFmtId="0" fontId="0" fillId="0" borderId="0" xfId="0"/>
    <xf numFmtId="0" fontId="0" fillId="0" borderId="32" xfId="0" applyBorder="1"/>
    <xf numFmtId="0" fontId="0" fillId="0" borderId="0" xfId="0" applyFill="1" applyBorder="1"/>
    <xf numFmtId="3" fontId="0" fillId="0" borderId="0" xfId="0" applyNumberFormat="1" applyAlignment="1">
      <alignment horizontal="center"/>
    </xf>
    <xf numFmtId="172" fontId="0" fillId="0" borderId="0" xfId="0" applyNumberFormat="1" applyAlignment="1">
      <alignment horizontal="right"/>
    </xf>
    <xf numFmtId="172" fontId="0" fillId="0" borderId="0" xfId="0" applyNumberFormat="1" applyAlignment="1"/>
    <xf numFmtId="172" fontId="0" fillId="0" borderId="0" xfId="0" applyNumberFormat="1" applyAlignment="1">
      <alignment horizontal="center"/>
    </xf>
    <xf numFmtId="0" fontId="9" fillId="11" borderId="37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/>
    </xf>
    <xf numFmtId="0" fontId="3" fillId="11" borderId="37" xfId="0" applyFont="1" applyFill="1" applyBorder="1" applyAlignment="1">
      <alignment horizontal="left" vertical="center"/>
    </xf>
    <xf numFmtId="0" fontId="0" fillId="11" borderId="6" xfId="0" applyFill="1" applyBorder="1" applyAlignment="1">
      <alignment horizontal="center" wrapText="1"/>
    </xf>
    <xf numFmtId="0" fontId="0" fillId="11" borderId="6" xfId="0" applyFill="1" applyBorder="1" applyAlignment="1">
      <alignment horizontal="center" vertical="center"/>
    </xf>
    <xf numFmtId="0" fontId="3" fillId="11" borderId="37" xfId="0" applyFont="1" applyFill="1" applyBorder="1" applyAlignment="1">
      <alignment vertical="center"/>
    </xf>
    <xf numFmtId="0" fontId="0" fillId="0" borderId="2" xfId="0" applyFont="1" applyBorder="1"/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2" xfId="0" applyBorder="1" applyAlignment="1">
      <alignment wrapText="1"/>
    </xf>
    <xf numFmtId="166" fontId="0" fillId="0" borderId="3" xfId="1" applyFont="1" applyBorder="1" applyAlignment="1">
      <alignment vertical="center"/>
    </xf>
    <xf numFmtId="0" fontId="0" fillId="0" borderId="11" xfId="0" applyBorder="1" applyAlignment="1">
      <alignment wrapText="1"/>
    </xf>
    <xf numFmtId="166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" fontId="22" fillId="10" borderId="15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/>
    <xf numFmtId="0" fontId="21" fillId="7" borderId="1" xfId="4" applyFont="1" applyFill="1" applyBorder="1" applyAlignment="1">
      <alignment vertical="center" wrapText="1"/>
    </xf>
    <xf numFmtId="3" fontId="21" fillId="7" borderId="1" xfId="0" applyNumberFormat="1" applyFont="1" applyFill="1" applyBorder="1" applyAlignment="1">
      <alignment horizontal="center" vertical="center" wrapText="1"/>
    </xf>
    <xf numFmtId="3" fontId="20" fillId="7" borderId="1" xfId="4" applyNumberFormat="1" applyFont="1" applyFill="1" applyBorder="1" applyAlignment="1">
      <alignment vertical="center" wrapText="1"/>
    </xf>
    <xf numFmtId="3" fontId="20" fillId="7" borderId="1" xfId="0" applyNumberFormat="1" applyFont="1" applyFill="1" applyBorder="1" applyAlignment="1">
      <alignment horizontal="center" vertical="center" wrapText="1"/>
    </xf>
    <xf numFmtId="3" fontId="31" fillId="7" borderId="1" xfId="0" applyNumberFormat="1" applyFont="1" applyFill="1" applyBorder="1" applyAlignment="1">
      <alignment horizontal="center" vertical="center" wrapText="1"/>
    </xf>
    <xf numFmtId="3" fontId="29" fillId="7" borderId="1" xfId="0" applyNumberFormat="1" applyFont="1" applyFill="1" applyBorder="1" applyAlignment="1">
      <alignment horizontal="center" vertical="center" wrapText="1"/>
    </xf>
    <xf numFmtId="166" fontId="3" fillId="0" borderId="15" xfId="1" applyFont="1" applyBorder="1" applyAlignment="1">
      <alignment horizontal="center" vertical="center"/>
    </xf>
    <xf numFmtId="166" fontId="3" fillId="0" borderId="17" xfId="1" applyFont="1" applyBorder="1" applyAlignment="1">
      <alignment horizontal="center" vertical="center"/>
    </xf>
    <xf numFmtId="166" fontId="5" fillId="2" borderId="4" xfId="8" applyFont="1" applyFill="1" applyBorder="1" applyAlignment="1">
      <alignment vertical="center"/>
    </xf>
    <xf numFmtId="164" fontId="5" fillId="2" borderId="4" xfId="10" applyNumberFormat="1" applyFont="1" applyFill="1" applyBorder="1" applyAlignment="1">
      <alignment vertical="center" wrapText="1"/>
    </xf>
    <xf numFmtId="0" fontId="0" fillId="0" borderId="0" xfId="0"/>
    <xf numFmtId="166" fontId="3" fillId="0" borderId="15" xfId="0" applyNumberFormat="1" applyFont="1" applyBorder="1" applyAlignment="1">
      <alignment horizontal="center" vertical="center"/>
    </xf>
    <xf numFmtId="166" fontId="3" fillId="0" borderId="17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1" applyFon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72" fontId="3" fillId="0" borderId="1" xfId="0" applyNumberFormat="1" applyFont="1" applyBorder="1"/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7" xfId="0" applyNumberFormat="1" applyFont="1" applyBorder="1"/>
    <xf numFmtId="3" fontId="3" fillId="0" borderId="0" xfId="0" applyNumberFormat="1" applyFont="1" applyAlignment="1">
      <alignment horizontal="center"/>
    </xf>
    <xf numFmtId="0" fontId="11" fillId="7" borderId="0" xfId="0" applyFont="1" applyFill="1" applyAlignment="1">
      <alignment horizontal="center"/>
    </xf>
    <xf numFmtId="167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0" fontId="34" fillId="0" borderId="1" xfId="0" applyFont="1" applyBorder="1"/>
    <xf numFmtId="0" fontId="35" fillId="0" borderId="1" xfId="0" applyFont="1" applyBorder="1"/>
    <xf numFmtId="0" fontId="35" fillId="0" borderId="1" xfId="0" applyFont="1" applyBorder="1" applyAlignment="1">
      <alignment wrapText="1"/>
    </xf>
    <xf numFmtId="3" fontId="36" fillId="0" borderId="1" xfId="0" applyNumberFormat="1" applyFont="1" applyBorder="1"/>
    <xf numFmtId="172" fontId="34" fillId="11" borderId="1" xfId="1" applyNumberFormat="1" applyFont="1" applyFill="1" applyBorder="1"/>
    <xf numFmtId="3" fontId="35" fillId="0" borderId="1" xfId="0" applyNumberFormat="1" applyFont="1" applyBorder="1"/>
    <xf numFmtId="172" fontId="38" fillId="11" borderId="1" xfId="1" applyNumberFormat="1" applyFont="1" applyFill="1" applyBorder="1"/>
    <xf numFmtId="3" fontId="37" fillId="0" borderId="1" xfId="0" applyNumberFormat="1" applyFont="1" applyBorder="1"/>
    <xf numFmtId="172" fontId="34" fillId="11" borderId="1" xfId="1" applyNumberFormat="1" applyFont="1" applyFill="1" applyBorder="1" applyAlignment="1">
      <alignment wrapText="1"/>
    </xf>
    <xf numFmtId="3" fontId="34" fillId="0" borderId="1" xfId="0" applyNumberFormat="1" applyFont="1" applyBorder="1"/>
    <xf numFmtId="172" fontId="34" fillId="0" borderId="1" xfId="1" applyNumberFormat="1" applyFont="1" applyBorder="1"/>
    <xf numFmtId="1" fontId="35" fillId="0" borderId="1" xfId="0" applyNumberFormat="1" applyFont="1" applyBorder="1"/>
    <xf numFmtId="172" fontId="35" fillId="0" borderId="1" xfId="1" applyNumberFormat="1" applyFont="1" applyBorder="1"/>
    <xf numFmtId="0" fontId="35" fillId="11" borderId="1" xfId="0" applyFont="1" applyFill="1" applyBorder="1"/>
    <xf numFmtId="0" fontId="35" fillId="0" borderId="3" xfId="0" applyFont="1" applyBorder="1"/>
    <xf numFmtId="0" fontId="35" fillId="0" borderId="2" xfId="0" applyFont="1" applyBorder="1"/>
    <xf numFmtId="0" fontId="35" fillId="0" borderId="2" xfId="0" applyFont="1" applyBorder="1" applyAlignment="1">
      <alignment wrapText="1"/>
    </xf>
    <xf numFmtId="0" fontId="34" fillId="0" borderId="2" xfId="0" applyFont="1" applyBorder="1"/>
    <xf numFmtId="0" fontId="35" fillId="0" borderId="4" xfId="0" applyFont="1" applyBorder="1"/>
    <xf numFmtId="0" fontId="34" fillId="0" borderId="1" xfId="0" applyFont="1" applyBorder="1" applyAlignment="1">
      <alignment wrapText="1"/>
    </xf>
    <xf numFmtId="0" fontId="40" fillId="0" borderId="1" xfId="0" applyFont="1" applyBorder="1" applyAlignment="1">
      <alignment horizontal="center"/>
    </xf>
    <xf numFmtId="0" fontId="40" fillId="0" borderId="1" xfId="0" applyFont="1" applyBorder="1"/>
    <xf numFmtId="0" fontId="41" fillId="0" borderId="1" xfId="0" applyFont="1" applyBorder="1"/>
    <xf numFmtId="172" fontId="40" fillId="0" borderId="1" xfId="1" applyNumberFormat="1" applyFont="1" applyBorder="1"/>
    <xf numFmtId="172" fontId="41" fillId="0" borderId="1" xfId="1" applyNumberFormat="1" applyFont="1" applyBorder="1"/>
    <xf numFmtId="0" fontId="41" fillId="0" borderId="1" xfId="0" applyFont="1" applyBorder="1" applyAlignment="1">
      <alignment wrapText="1"/>
    </xf>
    <xf numFmtId="172" fontId="41" fillId="0" borderId="1" xfId="0" applyNumberFormat="1" applyFont="1" applyBorder="1"/>
    <xf numFmtId="0" fontId="38" fillId="0" borderId="2" xfId="0" applyFont="1" applyBorder="1"/>
    <xf numFmtId="3" fontId="34" fillId="0" borderId="1" xfId="0" applyNumberFormat="1" applyFont="1" applyFill="1" applyBorder="1" applyAlignment="1">
      <alignment horizontal="center"/>
    </xf>
    <xf numFmtId="3" fontId="34" fillId="0" borderId="3" xfId="0" applyNumberFormat="1" applyFont="1" applyFill="1" applyBorder="1" applyAlignment="1">
      <alignment horizontal="center"/>
    </xf>
    <xf numFmtId="3" fontId="35" fillId="0" borderId="1" xfId="0" applyNumberFormat="1" applyFont="1" applyFill="1" applyBorder="1" applyAlignment="1">
      <alignment horizontal="center"/>
    </xf>
    <xf numFmtId="3" fontId="35" fillId="0" borderId="1" xfId="1" applyNumberFormat="1" applyFont="1" applyFill="1" applyBorder="1" applyAlignment="1">
      <alignment horizontal="center"/>
    </xf>
    <xf numFmtId="3" fontId="35" fillId="0" borderId="3" xfId="1" applyNumberFormat="1" applyFont="1" applyFill="1" applyBorder="1" applyAlignment="1">
      <alignment horizontal="center"/>
    </xf>
    <xf numFmtId="0" fontId="37" fillId="0" borderId="2" xfId="0" applyFont="1" applyBorder="1"/>
    <xf numFmtId="173" fontId="35" fillId="0" borderId="1" xfId="0" applyNumberFormat="1" applyFont="1" applyBorder="1" applyAlignment="1">
      <alignment horizontal="center"/>
    </xf>
    <xf numFmtId="173" fontId="35" fillId="0" borderId="3" xfId="0" applyNumberFormat="1" applyFont="1" applyBorder="1" applyAlignment="1">
      <alignment horizontal="center"/>
    </xf>
    <xf numFmtId="172" fontId="38" fillId="0" borderId="1" xfId="1" applyNumberFormat="1" applyFont="1" applyBorder="1" applyAlignment="1">
      <alignment horizontal="center"/>
    </xf>
    <xf numFmtId="172" fontId="38" fillId="0" borderId="3" xfId="1" applyNumberFormat="1" applyFont="1" applyBorder="1" applyAlignment="1">
      <alignment horizontal="center"/>
    </xf>
    <xf numFmtId="172" fontId="35" fillId="0" borderId="1" xfId="1" applyNumberFormat="1" applyFont="1" applyBorder="1" applyAlignment="1">
      <alignment horizontal="center"/>
    </xf>
    <xf numFmtId="172" fontId="35" fillId="0" borderId="3" xfId="1" applyNumberFormat="1" applyFont="1" applyBorder="1" applyAlignment="1">
      <alignment horizontal="center"/>
    </xf>
    <xf numFmtId="172" fontId="42" fillId="0" borderId="1" xfId="1" applyNumberFormat="1" applyFont="1" applyBorder="1"/>
    <xf numFmtId="172" fontId="35" fillId="0" borderId="3" xfId="1" applyNumberFormat="1" applyFont="1" applyBorder="1"/>
    <xf numFmtId="172" fontId="35" fillId="0" borderId="1" xfId="1" applyNumberFormat="1" applyFont="1" applyFill="1" applyBorder="1" applyAlignment="1">
      <alignment horizontal="center"/>
    </xf>
    <xf numFmtId="172" fontId="35" fillId="0" borderId="3" xfId="1" applyNumberFormat="1" applyFont="1" applyFill="1" applyBorder="1" applyAlignment="1">
      <alignment horizontal="center"/>
    </xf>
    <xf numFmtId="0" fontId="35" fillId="0" borderId="11" xfId="0" applyFont="1" applyBorder="1"/>
    <xf numFmtId="166" fontId="35" fillId="0" borderId="4" xfId="1" applyFont="1" applyFill="1" applyBorder="1" applyAlignment="1">
      <alignment horizontal="center"/>
    </xf>
    <xf numFmtId="166" fontId="35" fillId="0" borderId="5" xfId="1" applyFont="1" applyFill="1" applyBorder="1" applyAlignment="1">
      <alignment horizontal="center"/>
    </xf>
    <xf numFmtId="0" fontId="35" fillId="11" borderId="7" xfId="0" applyFont="1" applyFill="1" applyBorder="1"/>
    <xf numFmtId="0" fontId="34" fillId="11" borderId="7" xfId="0" applyFont="1" applyFill="1" applyBorder="1" applyAlignment="1">
      <alignment horizontal="center"/>
    </xf>
    <xf numFmtId="3" fontId="34" fillId="0" borderId="1" xfId="0" applyNumberFormat="1" applyFont="1" applyBorder="1" applyAlignment="1">
      <alignment horizontal="center"/>
    </xf>
    <xf numFmtId="3" fontId="35" fillId="0" borderId="1" xfId="0" applyNumberFormat="1" applyFont="1" applyBorder="1" applyAlignment="1">
      <alignment horizontal="center"/>
    </xf>
    <xf numFmtId="3" fontId="35" fillId="0" borderId="1" xfId="1" applyNumberFormat="1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2" fontId="35" fillId="0" borderId="4" xfId="0" applyNumberFormat="1" applyFont="1" applyFill="1" applyBorder="1" applyAlignment="1">
      <alignment horizontal="center"/>
    </xf>
    <xf numFmtId="0" fontId="34" fillId="11" borderId="8" xfId="0" applyFont="1" applyFill="1" applyBorder="1" applyAlignment="1">
      <alignment horizontal="center"/>
    </xf>
    <xf numFmtId="3" fontId="34" fillId="0" borderId="3" xfId="0" applyNumberFormat="1" applyFont="1" applyBorder="1" applyAlignment="1">
      <alignment horizontal="center"/>
    </xf>
    <xf numFmtId="3" fontId="35" fillId="0" borderId="3" xfId="0" applyNumberFormat="1" applyFont="1" applyBorder="1" applyAlignment="1">
      <alignment horizontal="center"/>
    </xf>
    <xf numFmtId="3" fontId="35" fillId="0" borderId="3" xfId="1" applyNumberFormat="1" applyFont="1" applyBorder="1" applyAlignment="1">
      <alignment horizontal="center"/>
    </xf>
    <xf numFmtId="2" fontId="35" fillId="0" borderId="5" xfId="0" applyNumberFormat="1" applyFont="1" applyFill="1" applyBorder="1" applyAlignment="1">
      <alignment horizontal="center"/>
    </xf>
    <xf numFmtId="0" fontId="3" fillId="11" borderId="3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1" fontId="0" fillId="0" borderId="1" xfId="0" applyNumberFormat="1" applyBorder="1"/>
    <xf numFmtId="4" fontId="3" fillId="0" borderId="0" xfId="0" applyNumberFormat="1" applyFont="1"/>
    <xf numFmtId="0" fontId="3" fillId="11" borderId="7" xfId="0" applyFont="1" applyFill="1" applyBorder="1" applyAlignment="1">
      <alignment horizontal="center" wrapText="1"/>
    </xf>
    <xf numFmtId="0" fontId="3" fillId="11" borderId="7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3" fontId="0" fillId="0" borderId="3" xfId="0" applyNumberFormat="1" applyFill="1" applyBorder="1"/>
    <xf numFmtId="175" fontId="35" fillId="0" borderId="1" xfId="2" applyNumberFormat="1" applyFont="1" applyBorder="1"/>
    <xf numFmtId="3" fontId="3" fillId="0" borderId="0" xfId="0" applyNumberFormat="1" applyFont="1"/>
    <xf numFmtId="10" fontId="0" fillId="0" borderId="0" xfId="0" applyNumberFormat="1"/>
    <xf numFmtId="178" fontId="0" fillId="0" borderId="0" xfId="2" applyNumberFormat="1" applyFont="1"/>
    <xf numFmtId="4" fontId="0" fillId="0" borderId="0" xfId="0" applyNumberFormat="1"/>
    <xf numFmtId="177" fontId="0" fillId="0" borderId="0" xfId="2" applyNumberFormat="1" applyFont="1"/>
    <xf numFmtId="177" fontId="3" fillId="0" borderId="0" xfId="0" applyNumberFormat="1" applyFont="1"/>
    <xf numFmtId="3" fontId="43" fillId="0" borderId="1" xfId="0" applyNumberFormat="1" applyFont="1" applyBorder="1"/>
    <xf numFmtId="3" fontId="42" fillId="0" borderId="1" xfId="0" applyNumberFormat="1" applyFont="1" applyBorder="1"/>
    <xf numFmtId="0" fontId="35" fillId="0" borderId="1" xfId="0" applyFont="1" applyFill="1" applyBorder="1"/>
    <xf numFmtId="0" fontId="35" fillId="0" borderId="1" xfId="0" applyFont="1" applyFill="1" applyBorder="1" applyAlignment="1">
      <alignment wrapText="1"/>
    </xf>
    <xf numFmtId="0" fontId="38" fillId="0" borderId="1" xfId="0" applyFont="1" applyFill="1" applyBorder="1"/>
    <xf numFmtId="0" fontId="38" fillId="0" borderId="1" xfId="0" applyFont="1" applyFill="1" applyBorder="1" applyAlignment="1">
      <alignment wrapText="1"/>
    </xf>
    <xf numFmtId="0" fontId="44" fillId="0" borderId="1" xfId="0" applyFont="1" applyFill="1" applyBorder="1"/>
    <xf numFmtId="3" fontId="22" fillId="0" borderId="1" xfId="0" applyNumberFormat="1" applyFont="1" applyBorder="1"/>
    <xf numFmtId="172" fontId="35" fillId="11" borderId="1" xfId="1" applyNumberFormat="1" applyFont="1" applyFill="1" applyBorder="1"/>
    <xf numFmtId="172" fontId="0" fillId="0" borderId="0" xfId="0" applyNumberFormat="1" applyAlignment="1">
      <alignment horizontal="center" vertical="center"/>
    </xf>
    <xf numFmtId="0" fontId="0" fillId="0" borderId="0" xfId="0"/>
    <xf numFmtId="3" fontId="3" fillId="0" borderId="0" xfId="0" applyNumberFormat="1" applyFont="1" applyFill="1" applyBorder="1"/>
    <xf numFmtId="3" fontId="0" fillId="0" borderId="0" xfId="0" applyNumberFormat="1" applyFill="1" applyBorder="1"/>
    <xf numFmtId="176" fontId="0" fillId="0" borderId="0" xfId="2" applyNumberFormat="1" applyFont="1" applyFill="1" applyBorder="1"/>
    <xf numFmtId="0" fontId="0" fillId="0" borderId="0" xfId="0" applyFill="1" applyBorder="1" applyAlignment="1">
      <alignment horizontal="center"/>
    </xf>
    <xf numFmtId="10" fontId="3" fillId="0" borderId="0" xfId="2" applyNumberFormat="1" applyFont="1" applyFill="1" applyBorder="1"/>
    <xf numFmtId="179" fontId="0" fillId="0" borderId="0" xfId="2" applyNumberFormat="1" applyFont="1" applyFill="1" applyBorder="1"/>
    <xf numFmtId="175" fontId="0" fillId="0" borderId="0" xfId="2" applyNumberFormat="1" applyFont="1" applyFill="1" applyBorder="1"/>
    <xf numFmtId="10" fontId="0" fillId="0" borderId="0" xfId="0" applyNumberFormat="1" applyFill="1" applyBorder="1"/>
    <xf numFmtId="4" fontId="2" fillId="0" borderId="1" xfId="5" applyNumberFormat="1" applyFont="1" applyBorder="1" applyAlignment="1">
      <alignment horizontal="center"/>
    </xf>
    <xf numFmtId="0" fontId="2" fillId="0" borderId="1" xfId="6" applyBorder="1"/>
    <xf numFmtId="4" fontId="2" fillId="0" borderId="1" xfId="5" applyNumberFormat="1" applyFont="1" applyFill="1" applyBorder="1" applyAlignment="1">
      <alignment horizontal="center"/>
    </xf>
    <xf numFmtId="10" fontId="3" fillId="0" borderId="1" xfId="6" applyNumberFormat="1" applyFont="1" applyFill="1" applyBorder="1" applyAlignment="1">
      <alignment horizontal="center"/>
    </xf>
    <xf numFmtId="10" fontId="2" fillId="7" borderId="1" xfId="5" applyNumberFormat="1" applyFont="1" applyFill="1" applyBorder="1" applyAlignment="1">
      <alignment horizontal="center"/>
    </xf>
    <xf numFmtId="0" fontId="0" fillId="0" borderId="0" xfId="0"/>
    <xf numFmtId="0" fontId="45" fillId="9" borderId="0" xfId="0" applyFont="1" applyFill="1"/>
    <xf numFmtId="0" fontId="0" fillId="0" borderId="0" xfId="0"/>
    <xf numFmtId="0" fontId="45" fillId="0" borderId="1" xfId="0" applyFont="1" applyFill="1" applyBorder="1"/>
    <xf numFmtId="3" fontId="45" fillId="0" borderId="1" xfId="0" applyNumberFormat="1" applyFont="1" applyBorder="1"/>
    <xf numFmtId="0" fontId="45" fillId="0" borderId="1" xfId="0" applyFont="1" applyBorder="1"/>
    <xf numFmtId="2" fontId="48" fillId="0" borderId="0" xfId="48" applyNumberFormat="1" applyFont="1"/>
    <xf numFmtId="0" fontId="48" fillId="0" borderId="0" xfId="48" applyFont="1"/>
    <xf numFmtId="0" fontId="48" fillId="0" borderId="0" xfId="48" applyFont="1" applyBorder="1"/>
    <xf numFmtId="2" fontId="49" fillId="0" borderId="0" xfId="48" applyNumberFormat="1" applyFont="1" applyBorder="1" applyAlignment="1">
      <alignment horizontal="center" vertical="center"/>
    </xf>
    <xf numFmtId="0" fontId="50" fillId="0" borderId="0" xfId="48" applyFont="1"/>
    <xf numFmtId="0" fontId="51" fillId="0" borderId="0" xfId="48" applyFont="1" applyBorder="1"/>
    <xf numFmtId="0" fontId="51" fillId="0" borderId="0" xfId="48" applyFont="1"/>
    <xf numFmtId="0" fontId="49" fillId="0" borderId="0" xfId="48" applyFont="1" applyAlignment="1">
      <alignment horizontal="center" wrapText="1"/>
    </xf>
    <xf numFmtId="0" fontId="51" fillId="0" borderId="0" xfId="48" applyFont="1" applyAlignment="1"/>
    <xf numFmtId="2" fontId="49" fillId="0" borderId="0" xfId="48" applyNumberFormat="1" applyFont="1" applyBorder="1" applyAlignment="1">
      <alignment horizontal="left" vertical="center"/>
    </xf>
    <xf numFmtId="0" fontId="50" fillId="0" borderId="0" xfId="48" applyFont="1" applyBorder="1"/>
    <xf numFmtId="0" fontId="50" fillId="0" borderId="0" xfId="48" applyFont="1" applyBorder="1" applyAlignment="1">
      <alignment horizontal="center"/>
    </xf>
    <xf numFmtId="0" fontId="49" fillId="0" borderId="0" xfId="47" applyFont="1" applyAlignment="1">
      <alignment horizontal="left" wrapText="1"/>
    </xf>
    <xf numFmtId="0" fontId="50" fillId="0" borderId="0" xfId="47" applyFont="1"/>
    <xf numFmtId="0" fontId="49" fillId="0" borderId="0" xfId="47" applyFont="1" applyAlignment="1">
      <alignment horizontal="center" wrapText="1"/>
    </xf>
    <xf numFmtId="2" fontId="52" fillId="0" borderId="0" xfId="48" applyNumberFormat="1" applyFont="1" applyBorder="1" applyAlignment="1">
      <alignment horizontal="left" vertical="center"/>
    </xf>
    <xf numFmtId="0" fontId="52" fillId="0" borderId="0" xfId="47" applyFont="1" applyAlignment="1">
      <alignment horizontal="center" wrapText="1"/>
    </xf>
    <xf numFmtId="0" fontId="53" fillId="0" borderId="0" xfId="47" applyFont="1"/>
    <xf numFmtId="0" fontId="54" fillId="6" borderId="1" xfId="48" applyFont="1" applyFill="1" applyBorder="1" applyAlignment="1">
      <alignment horizontal="center" vertical="center" wrapText="1"/>
    </xf>
    <xf numFmtId="3" fontId="55" fillId="6" borderId="1" xfId="30" applyNumberFormat="1" applyFont="1" applyFill="1" applyBorder="1" applyAlignment="1">
      <alignment horizontal="center" vertical="center" wrapText="1"/>
    </xf>
    <xf numFmtId="3" fontId="55" fillId="6" borderId="1" xfId="30" applyNumberFormat="1" applyFont="1" applyFill="1" applyBorder="1" applyAlignment="1">
      <alignment horizontal="left" vertical="center" wrapText="1"/>
    </xf>
    <xf numFmtId="0" fontId="48" fillId="0" borderId="0" xfId="48" applyFont="1" applyBorder="1" applyAlignment="1">
      <alignment horizontal="center"/>
    </xf>
    <xf numFmtId="181" fontId="55" fillId="0" borderId="1" xfId="48" applyNumberFormat="1" applyFont="1" applyBorder="1" applyAlignment="1">
      <alignment horizontal="center" vertical="center"/>
    </xf>
    <xf numFmtId="0" fontId="55" fillId="0" borderId="1" xfId="48" applyFont="1" applyBorder="1" applyAlignment="1">
      <alignment vertical="center" wrapText="1"/>
    </xf>
    <xf numFmtId="3" fontId="55" fillId="0" borderId="1" xfId="48" applyNumberFormat="1" applyFont="1" applyFill="1" applyBorder="1" applyAlignment="1">
      <alignment horizontal="center" wrapText="1"/>
    </xf>
    <xf numFmtId="0" fontId="52" fillId="0" borderId="0" xfId="47" applyFont="1" applyBorder="1" applyAlignment="1">
      <alignment horizontal="center"/>
    </xf>
    <xf numFmtId="0" fontId="52" fillId="0" borderId="0" xfId="47" applyFont="1" applyBorder="1"/>
    <xf numFmtId="0" fontId="52" fillId="0" borderId="39" xfId="47" applyFont="1" applyBorder="1"/>
    <xf numFmtId="181" fontId="55" fillId="0" borderId="1" xfId="48" applyNumberFormat="1" applyFont="1" applyFill="1" applyBorder="1" applyAlignment="1">
      <alignment horizontal="center" vertical="center"/>
    </xf>
    <xf numFmtId="0" fontId="55" fillId="0" borderId="1" xfId="48" applyFont="1" applyFill="1" applyBorder="1" applyAlignment="1">
      <alignment vertical="center" wrapText="1"/>
    </xf>
    <xf numFmtId="0" fontId="52" fillId="0" borderId="0" xfId="47" applyFont="1" applyFill="1" applyBorder="1" applyAlignment="1">
      <alignment horizontal="center"/>
    </xf>
    <xf numFmtId="0" fontId="52" fillId="0" borderId="0" xfId="47" applyFont="1" applyFill="1" applyBorder="1"/>
    <xf numFmtId="0" fontId="52" fillId="0" borderId="38" xfId="47" applyFont="1" applyFill="1" applyBorder="1"/>
    <xf numFmtId="3" fontId="54" fillId="6" borderId="1" xfId="48" applyNumberFormat="1" applyFont="1" applyFill="1" applyBorder="1" applyAlignment="1">
      <alignment horizontal="center" vertical="center" wrapText="1"/>
    </xf>
    <xf numFmtId="0" fontId="56" fillId="0" borderId="0" xfId="47" applyFont="1" applyBorder="1" applyAlignment="1">
      <alignment vertical="center"/>
    </xf>
    <xf numFmtId="0" fontId="56" fillId="0" borderId="34" xfId="47" applyFont="1" applyBorder="1" applyAlignment="1">
      <alignment vertical="center"/>
    </xf>
    <xf numFmtId="3" fontId="48" fillId="0" borderId="0" xfId="48" applyNumberFormat="1" applyFont="1"/>
    <xf numFmtId="3" fontId="52" fillId="6" borderId="1" xfId="30" applyNumberFormat="1" applyFont="1" applyFill="1" applyBorder="1" applyAlignment="1">
      <alignment horizontal="center" vertical="center" wrapText="1"/>
    </xf>
    <xf numFmtId="3" fontId="52" fillId="0" borderId="1" xfId="48" applyNumberFormat="1" applyFont="1" applyBorder="1" applyAlignment="1">
      <alignment horizontal="center" vertical="center" wrapText="1"/>
    </xf>
    <xf numFmtId="0" fontId="53" fillId="0" borderId="1" xfId="48" applyFont="1" applyBorder="1" applyAlignment="1">
      <alignment vertical="center" wrapText="1"/>
    </xf>
    <xf numFmtId="0" fontId="53" fillId="0" borderId="1" xfId="48" applyFont="1" applyFill="1" applyBorder="1" applyAlignment="1">
      <alignment vertical="center" wrapText="1"/>
    </xf>
    <xf numFmtId="3" fontId="48" fillId="0" borderId="0" xfId="48" applyNumberFormat="1" applyFont="1" applyBorder="1"/>
    <xf numFmtId="3" fontId="52" fillId="0" borderId="0" xfId="48" applyNumberFormat="1" applyFont="1" applyBorder="1" applyAlignment="1">
      <alignment horizontal="center" vertical="center" wrapText="1"/>
    </xf>
    <xf numFmtId="0" fontId="53" fillId="0" borderId="0" xfId="48" applyFont="1"/>
    <xf numFmtId="0" fontId="45" fillId="0" borderId="1" xfId="48" applyFont="1" applyBorder="1"/>
    <xf numFmtId="0" fontId="1" fillId="0" borderId="1" xfId="48" applyBorder="1"/>
    <xf numFmtId="0" fontId="45" fillId="0" borderId="1" xfId="48" applyFont="1" applyBorder="1" applyAlignment="1">
      <alignment horizontal="center" vertical="center"/>
    </xf>
    <xf numFmtId="0" fontId="1" fillId="0" borderId="1" xfId="48" applyBorder="1" applyAlignment="1">
      <alignment horizontal="center"/>
    </xf>
    <xf numFmtId="0" fontId="1" fillId="0" borderId="0" xfId="48"/>
    <xf numFmtId="9" fontId="1" fillId="0" borderId="1" xfId="48" applyNumberFormat="1" applyBorder="1" applyAlignment="1">
      <alignment horizontal="center" vertical="center"/>
    </xf>
    <xf numFmtId="9" fontId="45" fillId="0" borderId="1" xfId="48" applyNumberFormat="1" applyFont="1" applyBorder="1" applyAlignment="1">
      <alignment horizontal="center" vertical="center"/>
    </xf>
    <xf numFmtId="0" fontId="45" fillId="0" borderId="1" xfId="48" applyFont="1" applyBorder="1" applyAlignment="1">
      <alignment horizontal="center"/>
    </xf>
    <xf numFmtId="10" fontId="57" fillId="5" borderId="1" xfId="49" applyNumberFormat="1" applyFont="1" applyFill="1" applyBorder="1" applyAlignment="1" applyProtection="1">
      <alignment horizontal="center" vertical="center" wrapText="1"/>
    </xf>
    <xf numFmtId="10" fontId="57" fillId="5" borderId="1" xfId="50" applyNumberFormat="1" applyFont="1" applyFill="1" applyBorder="1" applyAlignment="1" applyProtection="1">
      <alignment horizontal="center" vertical="center" wrapText="1"/>
    </xf>
    <xf numFmtId="10" fontId="45" fillId="13" borderId="1" xfId="48" applyNumberFormat="1" applyFont="1" applyFill="1" applyBorder="1" applyAlignment="1">
      <alignment horizontal="center" vertical="center"/>
    </xf>
    <xf numFmtId="17" fontId="1" fillId="0" borderId="1" xfId="48" applyNumberFormat="1" applyBorder="1" applyAlignment="1">
      <alignment horizontal="left"/>
    </xf>
    <xf numFmtId="182" fontId="1" fillId="13" borderId="1" xfId="48" applyNumberFormat="1" applyFill="1" applyBorder="1" applyAlignment="1">
      <alignment horizontal="center"/>
    </xf>
    <xf numFmtId="4" fontId="25" fillId="14" borderId="1" xfId="50" applyFont="1" applyFill="1" applyBorder="1" applyAlignment="1">
      <alignment vertical="center"/>
    </xf>
    <xf numFmtId="3" fontId="10" fillId="0" borderId="1" xfId="50" applyNumberFormat="1" applyFont="1" applyBorder="1" applyAlignment="1">
      <alignment vertical="center"/>
    </xf>
    <xf numFmtId="4" fontId="45" fillId="0" borderId="1" xfId="48" applyNumberFormat="1" applyFont="1" applyBorder="1"/>
    <xf numFmtId="0" fontId="46" fillId="0" borderId="1" xfId="48" applyFont="1" applyBorder="1"/>
    <xf numFmtId="182" fontId="45" fillId="13" borderId="1" xfId="48" applyNumberFormat="1" applyFont="1" applyFill="1" applyBorder="1" applyAlignment="1">
      <alignment horizontal="center"/>
    </xf>
    <xf numFmtId="4" fontId="1" fillId="0" borderId="0" xfId="48" applyNumberFormat="1"/>
    <xf numFmtId="4" fontId="58" fillId="0" borderId="1" xfId="50" applyFont="1" applyBorder="1" applyAlignment="1">
      <alignment vertical="center"/>
    </xf>
    <xf numFmtId="0" fontId="1" fillId="0" borderId="0" xfId="48" applyAlignment="1">
      <alignment horizontal="center"/>
    </xf>
    <xf numFmtId="0" fontId="1" fillId="0" borderId="0" xfId="48" applyBorder="1"/>
    <xf numFmtId="0" fontId="61" fillId="0" borderId="0" xfId="48" applyFont="1" applyBorder="1" applyAlignment="1">
      <alignment horizontal="center"/>
    </xf>
    <xf numFmtId="0" fontId="62" fillId="0" borderId="0" xfId="48" applyFont="1" applyBorder="1" applyAlignment="1">
      <alignment wrapText="1"/>
    </xf>
    <xf numFmtId="0" fontId="63" fillId="0" borderId="0" xfId="48" applyFont="1" applyBorder="1" applyAlignment="1">
      <alignment horizontal="center" wrapText="1"/>
    </xf>
    <xf numFmtId="0" fontId="62" fillId="0" borderId="0" xfId="48" applyFont="1" applyBorder="1" applyAlignment="1">
      <alignment horizontal="left" vertical="center" wrapText="1"/>
    </xf>
    <xf numFmtId="0" fontId="62" fillId="0" borderId="0" xfId="48" applyFont="1" applyBorder="1" applyAlignment="1">
      <alignment horizontal="center" vertical="center" wrapText="1"/>
    </xf>
    <xf numFmtId="0" fontId="62" fillId="0" borderId="0" xfId="48" applyFont="1" applyBorder="1" applyAlignment="1">
      <alignment horizontal="center" vertical="top" wrapText="1"/>
    </xf>
    <xf numFmtId="181" fontId="62" fillId="0" borderId="0" xfId="48" applyNumberFormat="1" applyFont="1" applyBorder="1" applyAlignment="1">
      <alignment horizontal="center" vertical="top" wrapText="1"/>
    </xf>
    <xf numFmtId="181" fontId="62" fillId="0" borderId="0" xfId="48" applyNumberFormat="1" applyFont="1" applyBorder="1" applyAlignment="1">
      <alignment vertical="top" wrapText="1"/>
    </xf>
    <xf numFmtId="0" fontId="62" fillId="0" borderId="0" xfId="48" applyFont="1" applyBorder="1" applyAlignment="1">
      <alignment horizontal="center" wrapText="1"/>
    </xf>
    <xf numFmtId="0" fontId="62" fillId="0" borderId="0" xfId="48" applyFont="1" applyBorder="1" applyAlignment="1">
      <alignment horizontal="left" wrapText="1" indent="1"/>
    </xf>
    <xf numFmtId="181" fontId="62" fillId="0" borderId="0" xfId="48" applyNumberFormat="1" applyFont="1" applyBorder="1" applyAlignment="1">
      <alignment horizontal="center" wrapText="1"/>
    </xf>
    <xf numFmtId="181" fontId="62" fillId="0" borderId="0" xfId="48" applyNumberFormat="1" applyFont="1" applyBorder="1" applyAlignment="1">
      <alignment horizontal="center" vertical="center" wrapText="1"/>
    </xf>
    <xf numFmtId="183" fontId="62" fillId="0" borderId="0" xfId="48" applyNumberFormat="1" applyFont="1" applyBorder="1" applyAlignment="1">
      <alignment horizontal="center" vertical="center" wrapText="1"/>
    </xf>
    <xf numFmtId="3" fontId="62" fillId="0" borderId="0" xfId="48" applyNumberFormat="1" applyFont="1" applyBorder="1" applyAlignment="1">
      <alignment horizontal="center" vertical="center" wrapText="1"/>
    </xf>
    <xf numFmtId="181" fontId="62" fillId="0" borderId="0" xfId="48" applyNumberFormat="1" applyFont="1" applyFill="1" applyBorder="1" applyAlignment="1">
      <alignment horizontal="center" wrapText="1"/>
    </xf>
    <xf numFmtId="0" fontId="62" fillId="0" borderId="0" xfId="48" applyFont="1" applyFill="1" applyBorder="1" applyAlignment="1">
      <alignment horizontal="center" wrapText="1"/>
    </xf>
    <xf numFmtId="183" fontId="57" fillId="5" borderId="0" xfId="49" applyNumberFormat="1" applyFont="1" applyFill="1" applyBorder="1" applyAlignment="1" applyProtection="1">
      <alignment horizontal="center" vertical="center" wrapText="1"/>
    </xf>
    <xf numFmtId="180" fontId="0" fillId="0" borderId="0" xfId="1" applyNumberFormat="1" applyFont="1" applyFill="1"/>
    <xf numFmtId="172" fontId="0" fillId="0" borderId="0" xfId="0" applyNumberFormat="1" applyFill="1"/>
    <xf numFmtId="3" fontId="35" fillId="0" borderId="21" xfId="0" applyNumberFormat="1" applyFont="1" applyBorder="1"/>
    <xf numFmtId="3" fontId="37" fillId="0" borderId="21" xfId="0" applyNumberFormat="1" applyFont="1" applyBorder="1"/>
    <xf numFmtId="3" fontId="42" fillId="0" borderId="21" xfId="0" applyNumberFormat="1" applyFont="1" applyBorder="1"/>
    <xf numFmtId="3" fontId="34" fillId="0" borderId="21" xfId="0" applyNumberFormat="1" applyFont="1" applyBorder="1"/>
    <xf numFmtId="0" fontId="35" fillId="0" borderId="50" xfId="0" applyFont="1" applyBorder="1"/>
    <xf numFmtId="3" fontId="35" fillId="0" borderId="50" xfId="0" applyNumberFormat="1" applyFont="1" applyBorder="1"/>
    <xf numFmtId="3" fontId="37" fillId="0" borderId="50" xfId="0" applyNumberFormat="1" applyFont="1" applyBorder="1"/>
    <xf numFmtId="3" fontId="42" fillId="0" borderId="50" xfId="0" applyNumberFormat="1" applyFont="1" applyBorder="1"/>
    <xf numFmtId="3" fontId="34" fillId="0" borderId="50" xfId="0" applyNumberFormat="1" applyFont="1" applyBorder="1"/>
    <xf numFmtId="1" fontId="35" fillId="0" borderId="15" xfId="0" applyNumberFormat="1" applyFont="1" applyBorder="1"/>
    <xf numFmtId="0" fontId="0" fillId="0" borderId="1" xfId="0" applyFill="1" applyBorder="1"/>
    <xf numFmtId="0" fontId="47" fillId="0" borderId="21" xfId="0" applyFont="1" applyFill="1" applyBorder="1" applyAlignment="1"/>
    <xf numFmtId="0" fontId="47" fillId="0" borderId="34" xfId="0" applyFont="1" applyFill="1" applyBorder="1" applyAlignment="1"/>
    <xf numFmtId="0" fontId="47" fillId="0" borderId="50" xfId="0" applyFont="1" applyFill="1" applyBorder="1" applyAlignment="1"/>
    <xf numFmtId="0" fontId="0" fillId="0" borderId="0" xfId="0"/>
    <xf numFmtId="3" fontId="43" fillId="0" borderId="1" xfId="0" applyNumberFormat="1" applyFont="1" applyFill="1" applyBorder="1"/>
    <xf numFmtId="3" fontId="64" fillId="0" borderId="1" xfId="0" applyNumberFormat="1" applyFont="1" applyBorder="1"/>
    <xf numFmtId="0" fontId="3" fillId="15" borderId="11" xfId="0" applyFont="1" applyFill="1" applyBorder="1"/>
    <xf numFmtId="3" fontId="3" fillId="15" borderId="4" xfId="0" applyNumberFormat="1" applyFont="1" applyFill="1" applyBorder="1"/>
    <xf numFmtId="3" fontId="3" fillId="15" borderId="5" xfId="0" applyNumberFormat="1" applyFont="1" applyFill="1" applyBorder="1"/>
    <xf numFmtId="0" fontId="45" fillId="0" borderId="11" xfId="0" applyFont="1" applyBorder="1"/>
    <xf numFmtId="166" fontId="45" fillId="0" borderId="4" xfId="1" applyFont="1" applyBorder="1"/>
    <xf numFmtId="166" fontId="0" fillId="0" borderId="17" xfId="0" applyNumberFormat="1" applyFill="1" applyBorder="1"/>
    <xf numFmtId="166" fontId="0" fillId="0" borderId="1" xfId="1" applyFont="1" applyFill="1" applyBorder="1"/>
    <xf numFmtId="166" fontId="0" fillId="0" borderId="3" xfId="0" applyNumberFormat="1" applyFill="1" applyBorder="1"/>
    <xf numFmtId="166" fontId="0" fillId="0" borderId="3" xfId="1" applyFont="1" applyFill="1" applyBorder="1"/>
    <xf numFmtId="166" fontId="0" fillId="0" borderId="4" xfId="1" applyFont="1" applyFill="1" applyBorder="1"/>
    <xf numFmtId="166" fontId="0" fillId="0" borderId="5" xfId="1" applyFont="1" applyFill="1" applyBorder="1"/>
    <xf numFmtId="0" fontId="9" fillId="4" borderId="12" xfId="0" applyFont="1" applyFill="1" applyBorder="1" applyAlignment="1">
      <alignment horizontal="left" vertical="center"/>
    </xf>
    <xf numFmtId="0" fontId="34" fillId="0" borderId="1" xfId="0" applyFont="1" applyBorder="1" applyAlignment="1">
      <alignment horizontal="left"/>
    </xf>
    <xf numFmtId="0" fontId="9" fillId="11" borderId="37" xfId="0" applyFont="1" applyFill="1" applyBorder="1" applyAlignment="1">
      <alignment horizontal="left" vertical="center" wrapText="1"/>
    </xf>
    <xf numFmtId="0" fontId="9" fillId="11" borderId="10" xfId="0" applyFont="1" applyFill="1" applyBorder="1" applyAlignment="1">
      <alignment horizontal="left" vertical="center" wrapText="1"/>
    </xf>
    <xf numFmtId="0" fontId="0" fillId="9" borderId="0" xfId="0" applyFill="1" applyBorder="1"/>
    <xf numFmtId="0" fontId="3" fillId="0" borderId="0" xfId="0" applyFont="1" applyBorder="1"/>
    <xf numFmtId="0" fontId="0" fillId="0" borderId="0" xfId="0" applyFill="1"/>
    <xf numFmtId="4" fontId="3" fillId="0" borderId="0" xfId="0" applyNumberFormat="1" applyFont="1" applyFill="1"/>
    <xf numFmtId="3" fontId="0" fillId="0" borderId="0" xfId="0" applyNumberFormat="1" applyFill="1"/>
    <xf numFmtId="2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34" fillId="0" borderId="2" xfId="0" applyFont="1" applyFill="1" applyBorder="1" applyAlignment="1">
      <alignment horizontal="left" vertical="center"/>
    </xf>
    <xf numFmtId="0" fontId="34" fillId="11" borderId="10" xfId="0" applyFont="1" applyFill="1" applyBorder="1" applyAlignment="1">
      <alignment horizontal="left" vertical="center"/>
    </xf>
    <xf numFmtId="172" fontId="34" fillId="12" borderId="1" xfId="1" applyNumberFormat="1" applyFont="1" applyFill="1" applyBorder="1"/>
    <xf numFmtId="172" fontId="34" fillId="12" borderId="3" xfId="1" applyNumberFormat="1" applyFont="1" applyFill="1" applyBorder="1"/>
    <xf numFmtId="0" fontId="35" fillId="0" borderId="2" xfId="0" applyFont="1" applyBorder="1" applyAlignment="1">
      <alignment vertical="center"/>
    </xf>
    <xf numFmtId="0" fontId="35" fillId="16" borderId="2" xfId="0" applyFont="1" applyFill="1" applyBorder="1" applyAlignment="1">
      <alignment vertical="center" wrapText="1"/>
    </xf>
    <xf numFmtId="0" fontId="0" fillId="11" borderId="6" xfId="0" applyFill="1" applyBorder="1" applyAlignment="1">
      <alignment horizontal="left" vertical="center"/>
    </xf>
    <xf numFmtId="0" fontId="0" fillId="0" borderId="0" xfId="0"/>
    <xf numFmtId="0" fontId="3" fillId="11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11" borderId="37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/>
    </xf>
    <xf numFmtId="0" fontId="65" fillId="4" borderId="1" xfId="9" applyFont="1" applyFill="1" applyBorder="1" applyAlignment="1">
      <alignment horizontal="center" vertical="center"/>
    </xf>
    <xf numFmtId="10" fontId="66" fillId="4" borderId="1" xfId="10" applyNumberFormat="1" applyFont="1" applyFill="1" applyBorder="1"/>
    <xf numFmtId="164" fontId="66" fillId="4" borderId="1" xfId="10" applyNumberFormat="1" applyFont="1" applyFill="1" applyBorder="1" applyProtection="1">
      <protection locked="0"/>
    </xf>
    <xf numFmtId="167" fontId="66" fillId="4" borderId="1" xfId="11" applyNumberFormat="1" applyFont="1" applyFill="1" applyBorder="1" applyProtection="1">
      <protection locked="0"/>
    </xf>
    <xf numFmtId="0" fontId="67" fillId="4" borderId="4" xfId="4" applyFont="1" applyFill="1" applyBorder="1" applyAlignment="1">
      <alignment vertical="center" wrapText="1"/>
    </xf>
    <xf numFmtId="166" fontId="26" fillId="0" borderId="15" xfId="1" applyFont="1" applyFill="1" applyBorder="1"/>
    <xf numFmtId="166" fontId="26" fillId="0" borderId="1" xfId="1" applyFont="1" applyFill="1" applyBorder="1"/>
    <xf numFmtId="0" fontId="26" fillId="0" borderId="0" xfId="0" applyFont="1"/>
    <xf numFmtId="0" fontId="21" fillId="15" borderId="1" xfId="0" applyFont="1" applyFill="1" applyBorder="1" applyAlignment="1">
      <alignment vertical="center" wrapText="1"/>
    </xf>
    <xf numFmtId="10" fontId="19" fillId="15" borderId="1" xfId="0" applyNumberFormat="1" applyFont="1" applyFill="1" applyBorder="1"/>
    <xf numFmtId="0" fontId="0" fillId="15" borderId="1" xfId="0" applyFill="1" applyBorder="1"/>
    <xf numFmtId="10" fontId="19" fillId="15" borderId="1" xfId="0" applyNumberFormat="1" applyFont="1" applyFill="1" applyBorder="1" applyAlignment="1">
      <alignment horizontal="right"/>
    </xf>
    <xf numFmtId="3" fontId="20" fillId="15" borderId="1" xfId="0" applyNumberFormat="1" applyFont="1" applyFill="1" applyBorder="1" applyAlignment="1">
      <alignment vertical="center" wrapText="1"/>
    </xf>
    <xf numFmtId="166" fontId="19" fillId="15" borderId="1" xfId="1" applyFont="1" applyFill="1" applyBorder="1" applyAlignment="1">
      <alignment horizontal="right"/>
    </xf>
    <xf numFmtId="10" fontId="19" fillId="15" borderId="1" xfId="2" applyNumberFormat="1" applyFont="1" applyFill="1" applyBorder="1"/>
    <xf numFmtId="2" fontId="19" fillId="15" borderId="1" xfId="0" applyNumberFormat="1" applyFont="1" applyFill="1" applyBorder="1"/>
    <xf numFmtId="2" fontId="19" fillId="15" borderId="1" xfId="1" applyNumberFormat="1" applyFont="1" applyFill="1" applyBorder="1"/>
    <xf numFmtId="2" fontId="0" fillId="15" borderId="1" xfId="0" applyNumberFormat="1" applyFill="1" applyBorder="1"/>
    <xf numFmtId="3" fontId="0" fillId="15" borderId="1" xfId="0" applyNumberFormat="1" applyFill="1" applyBorder="1"/>
    <xf numFmtId="9" fontId="48" fillId="0" borderId="0" xfId="48" applyNumberFormat="1" applyFont="1" applyBorder="1"/>
    <xf numFmtId="10" fontId="48" fillId="0" borderId="0" xfId="48" applyNumberFormat="1" applyFont="1"/>
    <xf numFmtId="10" fontId="0" fillId="0" borderId="0" xfId="2" applyNumberFormat="1" applyFont="1"/>
    <xf numFmtId="3" fontId="68" fillId="0" borderId="0" xfId="48" applyNumberFormat="1" applyFont="1"/>
    <xf numFmtId="3" fontId="68" fillId="0" borderId="0" xfId="48" applyNumberFormat="1" applyFont="1" applyBorder="1"/>
    <xf numFmtId="0" fontId="3" fillId="0" borderId="0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3" fontId="35" fillId="0" borderId="1" xfId="0" applyNumberFormat="1" applyFont="1" applyFill="1" applyBorder="1"/>
    <xf numFmtId="3" fontId="37" fillId="0" borderId="1" xfId="0" applyNumberFormat="1" applyFont="1" applyFill="1" applyBorder="1"/>
    <xf numFmtId="3" fontId="37" fillId="0" borderId="21" xfId="0" applyNumberFormat="1" applyFont="1" applyFill="1" applyBorder="1"/>
    <xf numFmtId="3" fontId="35" fillId="18" borderId="1" xfId="0" applyNumberFormat="1" applyFont="1" applyFill="1" applyBorder="1"/>
    <xf numFmtId="0" fontId="9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3" fillId="15" borderId="1" xfId="0" applyFont="1" applyFill="1" applyBorder="1"/>
    <xf numFmtId="3" fontId="3" fillId="15" borderId="1" xfId="0" applyNumberFormat="1" applyFont="1" applyFill="1" applyBorder="1"/>
    <xf numFmtId="0" fontId="43" fillId="0" borderId="1" xfId="0" applyFont="1" applyBorder="1" applyAlignment="1">
      <alignment wrapText="1"/>
    </xf>
    <xf numFmtId="0" fontId="47" fillId="0" borderId="1" xfId="0" applyFont="1" applyFill="1" applyBorder="1" applyAlignment="1">
      <alignment wrapText="1"/>
    </xf>
    <xf numFmtId="3" fontId="47" fillId="0" borderId="1" xfId="0" applyNumberFormat="1" applyFont="1" applyFill="1" applyBorder="1"/>
    <xf numFmtId="3" fontId="47" fillId="0" borderId="21" xfId="0" applyNumberFormat="1" applyFont="1" applyFill="1" applyBorder="1"/>
    <xf numFmtId="3" fontId="47" fillId="0" borderId="50" xfId="0" applyNumberFormat="1" applyFont="1" applyBorder="1"/>
    <xf numFmtId="3" fontId="47" fillId="0" borderId="1" xfId="0" applyNumberFormat="1" applyFont="1" applyBorder="1"/>
    <xf numFmtId="3" fontId="72" fillId="0" borderId="1" xfId="0" applyNumberFormat="1" applyFont="1" applyBorder="1"/>
    <xf numFmtId="0" fontId="45" fillId="0" borderId="0" xfId="0" applyFont="1"/>
    <xf numFmtId="0" fontId="70" fillId="0" borderId="0" xfId="9" applyFont="1" applyFill="1" applyBorder="1" applyAlignment="1">
      <alignment horizontal="center" vertical="center" wrapText="1"/>
    </xf>
    <xf numFmtId="0" fontId="53" fillId="0" borderId="0" xfId="9" applyFont="1" applyFill="1" applyBorder="1" applyAlignment="1">
      <alignment horizontal="center" vertical="center" wrapText="1"/>
    </xf>
    <xf numFmtId="0" fontId="71" fillId="0" borderId="0" xfId="9" applyFont="1" applyFill="1" applyBorder="1" applyAlignment="1">
      <alignment horizontal="center" vertical="center" wrapText="1"/>
    </xf>
    <xf numFmtId="0" fontId="69" fillId="0" borderId="0" xfId="9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184" fontId="0" fillId="0" borderId="0" xfId="0" applyNumberFormat="1" applyFill="1"/>
    <xf numFmtId="172" fontId="26" fillId="0" borderId="0" xfId="0" applyNumberFormat="1" applyFont="1" applyFill="1"/>
    <xf numFmtId="172" fontId="26" fillId="0" borderId="0" xfId="0" applyNumberFormat="1" applyFont="1"/>
    <xf numFmtId="172" fontId="38" fillId="11" borderId="1" xfId="1" applyNumberFormat="1" applyFont="1" applyFill="1" applyBorder="1" applyAlignment="1">
      <alignment vertical="center"/>
    </xf>
    <xf numFmtId="166" fontId="43" fillId="0" borderId="15" xfId="1" applyFont="1" applyBorder="1"/>
    <xf numFmtId="166" fontId="43" fillId="0" borderId="17" xfId="0" applyNumberFormat="1" applyFont="1" applyBorder="1"/>
    <xf numFmtId="166" fontId="43" fillId="0" borderId="1" xfId="1" applyFont="1" applyBorder="1"/>
    <xf numFmtId="166" fontId="43" fillId="0" borderId="3" xfId="0" applyNumberFormat="1" applyFont="1" applyBorder="1"/>
    <xf numFmtId="0" fontId="43" fillId="0" borderId="14" xfId="0" applyFont="1" applyBorder="1"/>
    <xf numFmtId="0" fontId="43" fillId="0" borderId="2" xfId="0" applyFont="1" applyBorder="1"/>
    <xf numFmtId="0" fontId="27" fillId="0" borderId="11" xfId="0" applyFont="1" applyBorder="1"/>
    <xf numFmtId="166" fontId="27" fillId="0" borderId="4" xfId="1" applyFont="1" applyBorder="1"/>
    <xf numFmtId="166" fontId="27" fillId="0" borderId="5" xfId="1" applyFont="1" applyBorder="1"/>
    <xf numFmtId="0" fontId="9" fillId="11" borderId="25" xfId="0" applyFont="1" applyFill="1" applyBorder="1" applyAlignment="1">
      <alignment horizontal="left" vertical="center"/>
    </xf>
    <xf numFmtId="0" fontId="3" fillId="11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horizontal="center"/>
    </xf>
    <xf numFmtId="172" fontId="0" fillId="0" borderId="0" xfId="0" applyNumberFormat="1" applyFill="1" applyBorder="1"/>
    <xf numFmtId="172" fontId="3" fillId="0" borderId="0" xfId="0" applyNumberFormat="1" applyFont="1" applyFill="1" applyBorder="1"/>
    <xf numFmtId="178" fontId="0" fillId="0" borderId="0" xfId="2" applyNumberFormat="1" applyFont="1" applyFill="1" applyBorder="1"/>
    <xf numFmtId="0" fontId="43" fillId="0" borderId="0" xfId="0" applyFont="1"/>
    <xf numFmtId="3" fontId="20" fillId="15" borderId="1" xfId="0" applyNumberFormat="1" applyFont="1" applyFill="1" applyBorder="1" applyAlignment="1">
      <alignment horizontal="center" vertical="center"/>
    </xf>
    <xf numFmtId="3" fontId="20" fillId="15" borderId="1" xfId="0" applyNumberFormat="1" applyFont="1" applyFill="1" applyBorder="1" applyAlignment="1">
      <alignment horizontal="center" wrapText="1"/>
    </xf>
    <xf numFmtId="49" fontId="21" fillId="15" borderId="1" xfId="0" applyNumberFormat="1" applyFont="1" applyFill="1" applyBorder="1" applyAlignment="1">
      <alignment horizontal="center" vertical="center"/>
    </xf>
    <xf numFmtId="3" fontId="21" fillId="15" borderId="1" xfId="0" applyNumberFormat="1" applyFont="1" applyFill="1" applyBorder="1" applyAlignment="1">
      <alignment horizontal="center" wrapText="1"/>
    </xf>
    <xf numFmtId="49" fontId="20" fillId="15" borderId="1" xfId="0" applyNumberFormat="1" applyFont="1" applyFill="1" applyBorder="1" applyAlignment="1">
      <alignment horizontal="center" vertical="center"/>
    </xf>
    <xf numFmtId="0" fontId="20" fillId="15" borderId="1" xfId="0" applyFont="1" applyFill="1" applyBorder="1" applyAlignment="1">
      <alignment horizontal="left" vertical="center" wrapText="1"/>
    </xf>
    <xf numFmtId="0" fontId="27" fillId="11" borderId="37" xfId="0" applyFont="1" applyFill="1" applyBorder="1" applyAlignment="1">
      <alignment horizontal="left" vertical="center"/>
    </xf>
    <xf numFmtId="172" fontId="45" fillId="0" borderId="4" xfId="1" applyNumberFormat="1" applyFont="1" applyBorder="1"/>
    <xf numFmtId="172" fontId="45" fillId="0" borderId="4" xfId="0" applyNumberFormat="1" applyFont="1" applyBorder="1"/>
    <xf numFmtId="172" fontId="45" fillId="0" borderId="5" xfId="0" applyNumberFormat="1" applyFont="1" applyBorder="1"/>
    <xf numFmtId="9" fontId="0" fillId="0" borderId="47" xfId="2" applyFont="1" applyFill="1" applyBorder="1"/>
    <xf numFmtId="0" fontId="3" fillId="11" borderId="7" xfId="0" applyFont="1" applyFill="1" applyBorder="1" applyAlignment="1">
      <alignment horizontal="center" vertical="center" wrapText="1"/>
    </xf>
    <xf numFmtId="166" fontId="74" fillId="0" borderId="4" xfId="1" applyFont="1" applyBorder="1"/>
    <xf numFmtId="166" fontId="74" fillId="0" borderId="5" xfId="1" applyFont="1" applyBorder="1"/>
    <xf numFmtId="9" fontId="43" fillId="0" borderId="0" xfId="0" applyNumberFormat="1" applyFont="1" applyAlignment="1">
      <alignment horizontal="center" vertical="center"/>
    </xf>
    <xf numFmtId="0" fontId="43" fillId="0" borderId="27" xfId="0" applyFont="1" applyBorder="1"/>
    <xf numFmtId="167" fontId="43" fillId="0" borderId="0" xfId="0" applyNumberFormat="1" applyFont="1" applyAlignment="1">
      <alignment horizontal="center" vertical="center"/>
    </xf>
    <xf numFmtId="0" fontId="43" fillId="0" borderId="1" xfId="0" applyFont="1" applyBorder="1" applyAlignment="1">
      <alignment horizontal="center"/>
    </xf>
    <xf numFmtId="166" fontId="43" fillId="0" borderId="1" xfId="1" applyFont="1" applyBorder="1" applyAlignment="1">
      <alignment horizontal="center" vertical="center"/>
    </xf>
    <xf numFmtId="3" fontId="77" fillId="0" borderId="1" xfId="1" applyNumberFormat="1" applyFont="1" applyFill="1" applyBorder="1" applyAlignment="1">
      <alignment horizontal="center"/>
    </xf>
    <xf numFmtId="3" fontId="77" fillId="0" borderId="1" xfId="0" applyNumberFormat="1" applyFont="1" applyFill="1" applyBorder="1" applyAlignment="1">
      <alignment horizontal="center"/>
    </xf>
    <xf numFmtId="172" fontId="43" fillId="0" borderId="0" xfId="1" applyNumberFormat="1" applyFont="1"/>
    <xf numFmtId="3" fontId="43" fillId="0" borderId="1" xfId="1" applyNumberFormat="1" applyFont="1" applyFill="1" applyBorder="1" applyAlignment="1">
      <alignment horizontal="center"/>
    </xf>
    <xf numFmtId="167" fontId="43" fillId="0" borderId="32" xfId="2" applyNumberFormat="1" applyFont="1" applyFill="1" applyBorder="1" applyAlignment="1">
      <alignment horizontal="center"/>
    </xf>
    <xf numFmtId="10" fontId="43" fillId="0" borderId="32" xfId="2" applyNumberFormat="1" applyFont="1" applyFill="1" applyBorder="1" applyAlignment="1">
      <alignment horizontal="center"/>
    </xf>
    <xf numFmtId="167" fontId="43" fillId="0" borderId="0" xfId="2" applyNumberFormat="1" applyFont="1"/>
    <xf numFmtId="173" fontId="43" fillId="0" borderId="1" xfId="0" applyNumberFormat="1" applyFont="1" applyBorder="1" applyAlignment="1">
      <alignment horizontal="center"/>
    </xf>
    <xf numFmtId="173" fontId="78" fillId="0" borderId="1" xfId="0" applyNumberFormat="1" applyFont="1" applyBorder="1" applyAlignment="1">
      <alignment horizontal="center"/>
    </xf>
    <xf numFmtId="174" fontId="43" fillId="0" borderId="1" xfId="0" applyNumberFormat="1" applyFont="1" applyBorder="1" applyAlignment="1">
      <alignment horizontal="center"/>
    </xf>
    <xf numFmtId="4" fontId="43" fillId="0" borderId="1" xfId="0" applyNumberFormat="1" applyFont="1" applyBorder="1" applyAlignment="1">
      <alignment horizontal="center"/>
    </xf>
    <xf numFmtId="172" fontId="77" fillId="0" borderId="1" xfId="1" applyNumberFormat="1" applyFont="1" applyBorder="1" applyAlignment="1">
      <alignment horizontal="center"/>
    </xf>
    <xf numFmtId="172" fontId="77" fillId="0" borderId="1" xfId="1" applyNumberFormat="1" applyFont="1" applyBorder="1" applyAlignment="1">
      <alignment vertical="center"/>
    </xf>
    <xf numFmtId="172" fontId="43" fillId="0" borderId="1" xfId="1" applyNumberFormat="1" applyFont="1" applyBorder="1" applyAlignment="1">
      <alignment horizontal="center"/>
    </xf>
    <xf numFmtId="167" fontId="43" fillId="0" borderId="0" xfId="2" applyNumberFormat="1" applyFont="1" applyFill="1" applyBorder="1" applyAlignment="1">
      <alignment horizontal="center"/>
    </xf>
    <xf numFmtId="172" fontId="43" fillId="0" borderId="1" xfId="1" applyNumberFormat="1" applyFont="1" applyBorder="1"/>
    <xf numFmtId="0" fontId="43" fillId="17" borderId="1" xfId="0" applyFont="1" applyFill="1" applyBorder="1"/>
    <xf numFmtId="172" fontId="27" fillId="17" borderId="1" xfId="1" applyNumberFormat="1" applyFont="1" applyFill="1" applyBorder="1"/>
    <xf numFmtId="166" fontId="43" fillId="0" borderId="1" xfId="1" applyFont="1" applyBorder="1" applyAlignment="1">
      <alignment horizontal="center"/>
    </xf>
    <xf numFmtId="1" fontId="43" fillId="0" borderId="1" xfId="0" applyNumberFormat="1" applyFont="1" applyBorder="1"/>
    <xf numFmtId="172" fontId="27" fillId="0" borderId="1" xfId="1" applyNumberFormat="1" applyFont="1" applyBorder="1" applyAlignment="1">
      <alignment horizontal="center"/>
    </xf>
    <xf numFmtId="2" fontId="43" fillId="0" borderId="1" xfId="0" applyNumberFormat="1" applyFont="1" applyBorder="1" applyAlignment="1">
      <alignment horizontal="center"/>
    </xf>
    <xf numFmtId="0" fontId="43" fillId="0" borderId="15" xfId="0" applyFont="1" applyBorder="1"/>
    <xf numFmtId="167" fontId="43" fillId="0" borderId="1" xfId="2" applyNumberFormat="1" applyFont="1" applyBorder="1" applyAlignment="1">
      <alignment horizontal="center"/>
    </xf>
    <xf numFmtId="0" fontId="78" fillId="0" borderId="1" xfId="0" applyFont="1" applyBorder="1"/>
    <xf numFmtId="3" fontId="27" fillId="0" borderId="1" xfId="0" applyNumberFormat="1" applyFont="1" applyBorder="1" applyAlignment="1">
      <alignment horizontal="center"/>
    </xf>
    <xf numFmtId="3" fontId="77" fillId="0" borderId="1" xfId="1" applyNumberFormat="1" applyFont="1" applyBorder="1" applyAlignment="1">
      <alignment horizontal="center"/>
    </xf>
    <xf numFmtId="3" fontId="43" fillId="0" borderId="1" xfId="0" applyNumberFormat="1" applyFont="1" applyBorder="1" applyAlignment="1">
      <alignment horizontal="center"/>
    </xf>
    <xf numFmtId="167" fontId="43" fillId="0" borderId="47" xfId="2" applyNumberFormat="1" applyFont="1" applyFill="1" applyBorder="1" applyAlignment="1">
      <alignment horizontal="center"/>
    </xf>
    <xf numFmtId="3" fontId="43" fillId="0" borderId="1" xfId="1" applyNumberFormat="1" applyFont="1" applyBorder="1" applyAlignment="1">
      <alignment horizontal="center"/>
    </xf>
    <xf numFmtId="9" fontId="43" fillId="0" borderId="0" xfId="2" applyFont="1"/>
    <xf numFmtId="0" fontId="27" fillId="18" borderId="1" xfId="0" applyFont="1" applyFill="1" applyBorder="1"/>
    <xf numFmtId="0" fontId="43" fillId="18" borderId="1" xfId="0" applyFont="1" applyFill="1" applyBorder="1"/>
    <xf numFmtId="3" fontId="27" fillId="18" borderId="1" xfId="0" applyNumberFormat="1" applyFont="1" applyFill="1" applyBorder="1" applyAlignment="1">
      <alignment horizontal="center"/>
    </xf>
    <xf numFmtId="0" fontId="27" fillId="0" borderId="1" xfId="0" applyFont="1" applyBorder="1"/>
    <xf numFmtId="166" fontId="43" fillId="0" borderId="1" xfId="1" applyFont="1" applyBorder="1" applyAlignment="1">
      <alignment vertical="center"/>
    </xf>
    <xf numFmtId="166" fontId="43" fillId="0" borderId="1" xfId="0" applyNumberFormat="1" applyFont="1" applyBorder="1" applyAlignment="1">
      <alignment horizontal="center" vertical="center"/>
    </xf>
    <xf numFmtId="166" fontId="43" fillId="0" borderId="1" xfId="0" applyNumberFormat="1" applyFont="1" applyBorder="1" applyAlignment="1">
      <alignment vertical="center"/>
    </xf>
    <xf numFmtId="172" fontId="43" fillId="0" borderId="0" xfId="0" applyNumberFormat="1" applyFont="1"/>
    <xf numFmtId="0" fontId="76" fillId="0" borderId="1" xfId="0" applyFont="1" applyFill="1" applyBorder="1" applyAlignment="1">
      <alignment horizontal="left" vertical="center"/>
    </xf>
    <xf numFmtId="185" fontId="73" fillId="0" borderId="0" xfId="1" applyNumberFormat="1" applyFont="1" applyFill="1"/>
    <xf numFmtId="4" fontId="26" fillId="0" borderId="0" xfId="0" applyNumberFormat="1" applyFont="1"/>
    <xf numFmtId="186" fontId="3" fillId="0" borderId="0" xfId="2" applyNumberFormat="1" applyFont="1" applyFill="1" applyBorder="1" applyAlignment="1">
      <alignment horizontal="center" vertical="center"/>
    </xf>
    <xf numFmtId="187" fontId="0" fillId="0" borderId="0" xfId="0" applyNumberFormat="1" applyFill="1" applyBorder="1"/>
    <xf numFmtId="10" fontId="43" fillId="0" borderId="0" xfId="2" applyNumberFormat="1" applyFont="1"/>
    <xf numFmtId="0" fontId="73" fillId="0" borderId="1" xfId="0" applyFont="1" applyBorder="1" applyAlignment="1">
      <alignment vertical="center"/>
    </xf>
    <xf numFmtId="0" fontId="77" fillId="0" borderId="1" xfId="0" applyFont="1" applyBorder="1"/>
    <xf numFmtId="0" fontId="27" fillId="17" borderId="1" xfId="0" applyFont="1" applyFill="1" applyBorder="1"/>
    <xf numFmtId="166" fontId="43" fillId="0" borderId="1" xfId="0" applyNumberFormat="1" applyFont="1" applyBorder="1" applyAlignment="1">
      <alignment horizontal="center"/>
    </xf>
    <xf numFmtId="3" fontId="43" fillId="0" borderId="0" xfId="0" applyNumberFormat="1" applyFont="1"/>
    <xf numFmtId="2" fontId="0" fillId="0" borderId="0" xfId="0" applyNumberFormat="1"/>
    <xf numFmtId="3" fontId="43" fillId="15" borderId="1" xfId="0" applyNumberFormat="1" applyFont="1" applyFill="1" applyBorder="1"/>
    <xf numFmtId="0" fontId="0" fillId="0" borderId="0" xfId="0"/>
    <xf numFmtId="183" fontId="3" fillId="15" borderId="5" xfId="0" applyNumberFormat="1" applyFont="1" applyFill="1" applyBorder="1"/>
    <xf numFmtId="188" fontId="0" fillId="0" borderId="0" xfId="0" applyNumberFormat="1"/>
    <xf numFmtId="189" fontId="43" fillId="0" borderId="1" xfId="0" applyNumberFormat="1" applyFont="1" applyFill="1" applyBorder="1"/>
    <xf numFmtId="0" fontId="3" fillId="0" borderId="0" xfId="5" applyFont="1" applyAlignment="1">
      <alignment horizontal="left"/>
    </xf>
    <xf numFmtId="0" fontId="3" fillId="0" borderId="0" xfId="6" applyFont="1" applyAlignment="1">
      <alignment horizontal="left"/>
    </xf>
    <xf numFmtId="0" fontId="9" fillId="0" borderId="43" xfId="6" applyFont="1" applyBorder="1" applyAlignment="1">
      <alignment horizontal="left"/>
    </xf>
    <xf numFmtId="0" fontId="9" fillId="0" borderId="56" xfId="6" applyFont="1" applyBorder="1" applyAlignment="1">
      <alignment horizontal="left"/>
    </xf>
    <xf numFmtId="0" fontId="9" fillId="0" borderId="42" xfId="6" applyFont="1" applyBorder="1" applyAlignment="1">
      <alignment horizontal="left"/>
    </xf>
    <xf numFmtId="0" fontId="59" fillId="0" borderId="0" xfId="48" applyFont="1" applyBorder="1" applyAlignment="1">
      <alignment horizontal="center"/>
    </xf>
    <xf numFmtId="0" fontId="60" fillId="0" borderId="0" xfId="48" applyFont="1" applyBorder="1" applyAlignment="1">
      <alignment horizontal="center"/>
    </xf>
    <xf numFmtId="0" fontId="62" fillId="0" borderId="0" xfId="48" applyFont="1" applyBorder="1" applyAlignment="1">
      <alignment horizontal="right"/>
    </xf>
    <xf numFmtId="0" fontId="54" fillId="6" borderId="1" xfId="48" applyFont="1" applyFill="1" applyBorder="1" applyAlignment="1">
      <alignment horizontal="center" vertical="center" wrapText="1"/>
    </xf>
    <xf numFmtId="49" fontId="54" fillId="6" borderId="1" xfId="48" applyNumberFormat="1" applyFont="1" applyFill="1" applyBorder="1" applyAlignment="1">
      <alignment horizontal="left" vertical="center"/>
    </xf>
    <xf numFmtId="0" fontId="49" fillId="0" borderId="0" xfId="48" applyFont="1" applyAlignment="1">
      <alignment horizontal="center" wrapText="1"/>
    </xf>
    <xf numFmtId="0" fontId="49" fillId="6" borderId="43" xfId="48" applyFont="1" applyFill="1" applyBorder="1" applyAlignment="1">
      <alignment horizontal="center"/>
    </xf>
    <xf numFmtId="0" fontId="49" fillId="6" borderId="42" xfId="48" applyFont="1" applyFill="1" applyBorder="1" applyAlignment="1">
      <alignment horizontal="center"/>
    </xf>
    <xf numFmtId="2" fontId="54" fillId="6" borderId="1" xfId="48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49" fontId="20" fillId="15" borderId="1" xfId="0" applyNumberFormat="1" applyFont="1" applyFill="1" applyBorder="1" applyAlignment="1">
      <alignment horizontal="center" vertical="center"/>
    </xf>
    <xf numFmtId="0" fontId="0" fillId="0" borderId="0" xfId="0"/>
    <xf numFmtId="0" fontId="20" fillId="15" borderId="1" xfId="0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/>
    </xf>
    <xf numFmtId="0" fontId="20" fillId="6" borderId="7" xfId="4" applyFont="1" applyFill="1" applyBorder="1" applyAlignment="1">
      <alignment horizontal="center" vertical="center" wrapText="1"/>
    </xf>
    <xf numFmtId="0" fontId="20" fillId="6" borderId="24" xfId="4" applyFont="1" applyFill="1" applyBorder="1" applyAlignment="1">
      <alignment horizontal="center" vertical="center" wrapText="1"/>
    </xf>
    <xf numFmtId="0" fontId="20" fillId="6" borderId="8" xfId="4" applyFont="1" applyFill="1" applyBorder="1" applyAlignment="1">
      <alignment horizontal="center" vertical="center" wrapText="1"/>
    </xf>
    <xf numFmtId="0" fontId="20" fillId="0" borderId="0" xfId="4" applyFont="1" applyAlignment="1">
      <alignment horizontal="center" wrapText="1"/>
    </xf>
    <xf numFmtId="0" fontId="6" fillId="0" borderId="0" xfId="4" applyAlignment="1"/>
    <xf numFmtId="0" fontId="24" fillId="6" borderId="43" xfId="4" applyFont="1" applyFill="1" applyBorder="1" applyAlignment="1">
      <alignment horizontal="center"/>
    </xf>
    <xf numFmtId="0" fontId="24" fillId="6" borderId="42" xfId="4" applyFont="1" applyFill="1" applyBorder="1" applyAlignment="1">
      <alignment horizontal="center"/>
    </xf>
    <xf numFmtId="49" fontId="20" fillId="6" borderId="10" xfId="4" applyNumberFormat="1" applyFont="1" applyFill="1" applyBorder="1" applyAlignment="1">
      <alignment horizontal="center" vertical="center"/>
    </xf>
    <xf numFmtId="49" fontId="20" fillId="6" borderId="12" xfId="4" applyNumberFormat="1" applyFont="1" applyFill="1" applyBorder="1" applyAlignment="1">
      <alignment horizontal="center" vertical="center"/>
    </xf>
    <xf numFmtId="0" fontId="20" fillId="6" borderId="13" xfId="4" applyFont="1" applyFill="1" applyBorder="1" applyAlignment="1">
      <alignment horizontal="center" vertical="center" wrapText="1"/>
    </xf>
    <xf numFmtId="0" fontId="40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9" fillId="11" borderId="1" xfId="0" applyFont="1" applyFill="1" applyBorder="1" applyAlignment="1">
      <alignment horizontal="left" vertical="center" wrapText="1"/>
    </xf>
    <xf numFmtId="0" fontId="39" fillId="11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4" fillId="11" borderId="1" xfId="0" applyFont="1" applyFill="1" applyBorder="1" applyAlignment="1">
      <alignment horizontal="center" vertical="center"/>
    </xf>
    <xf numFmtId="0" fontId="32" fillId="0" borderId="0" xfId="0" applyFont="1" applyAlignment="1">
      <alignment horizontal="left"/>
    </xf>
    <xf numFmtId="0" fontId="34" fillId="11" borderId="13" xfId="0" applyFont="1" applyFill="1" applyBorder="1" applyAlignment="1">
      <alignment horizontal="center" vertical="center"/>
    </xf>
    <xf numFmtId="0" fontId="33" fillId="11" borderId="13" xfId="0" applyFont="1" applyFill="1" applyBorder="1" applyAlignment="1">
      <alignment horizontal="left" vertical="center" wrapText="1"/>
    </xf>
    <xf numFmtId="0" fontId="33" fillId="11" borderId="15" xfId="0" applyFont="1" applyFill="1" applyBorder="1" applyAlignment="1">
      <alignment horizontal="left" vertical="center" wrapText="1"/>
    </xf>
    <xf numFmtId="0" fontId="33" fillId="11" borderId="1" xfId="0" applyFont="1" applyFill="1" applyBorder="1" applyAlignment="1">
      <alignment horizontal="center" vertical="center" wrapText="1"/>
    </xf>
    <xf numFmtId="0" fontId="0" fillId="3" borderId="62" xfId="0" applyFill="1" applyBorder="1" applyAlignment="1">
      <alignment horizontal="center"/>
    </xf>
    <xf numFmtId="0" fontId="0" fillId="18" borderId="62" xfId="0" applyFill="1" applyBorder="1" applyAlignment="1">
      <alignment horizontal="center"/>
    </xf>
    <xf numFmtId="172" fontId="45" fillId="12" borderId="0" xfId="0" applyNumberFormat="1" applyFont="1" applyFill="1" applyAlignment="1">
      <alignment horizontal="center"/>
    </xf>
    <xf numFmtId="0" fontId="0" fillId="19" borderId="62" xfId="0" applyFill="1" applyBorder="1" applyAlignment="1">
      <alignment horizontal="center"/>
    </xf>
    <xf numFmtId="172" fontId="0" fillId="7" borderId="0" xfId="0" applyNumberFormat="1" applyFill="1" applyAlignment="1">
      <alignment horizontal="center"/>
    </xf>
    <xf numFmtId="0" fontId="0" fillId="0" borderId="49" xfId="0" applyBorder="1" applyAlignment="1">
      <alignment horizontal="left"/>
    </xf>
    <xf numFmtId="0" fontId="0" fillId="0" borderId="50" xfId="0" applyBorder="1" applyAlignment="1">
      <alignment horizontal="left"/>
    </xf>
    <xf numFmtId="0" fontId="3" fillId="0" borderId="4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0" fillId="0" borderId="4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4" fillId="11" borderId="7" xfId="0" applyFont="1" applyFill="1" applyBorder="1" applyAlignment="1">
      <alignment horizontal="center" vertical="center"/>
    </xf>
    <xf numFmtId="0" fontId="34" fillId="11" borderId="8" xfId="0" applyFont="1" applyFill="1" applyBorder="1" applyAlignment="1">
      <alignment horizontal="center" vertical="center"/>
    </xf>
    <xf numFmtId="0" fontId="34" fillId="11" borderId="3" xfId="0" applyFont="1" applyFill="1" applyBorder="1" applyAlignment="1">
      <alignment horizontal="center" vertical="center"/>
    </xf>
    <xf numFmtId="0" fontId="33" fillId="11" borderId="25" xfId="0" applyFont="1" applyFill="1" applyBorder="1" applyAlignment="1">
      <alignment horizontal="left" vertical="center" wrapText="1"/>
    </xf>
    <xf numFmtId="0" fontId="33" fillId="11" borderId="14" xfId="0" applyFont="1" applyFill="1" applyBorder="1" applyAlignment="1">
      <alignment horizontal="left" vertical="center" wrapText="1"/>
    </xf>
    <xf numFmtId="0" fontId="33" fillId="11" borderId="7" xfId="0" applyFont="1" applyFill="1" applyBorder="1" applyAlignment="1">
      <alignment horizontal="center" vertical="center" wrapText="1"/>
    </xf>
    <xf numFmtId="0" fontId="18" fillId="11" borderId="7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33" fillId="11" borderId="26" xfId="0" applyFont="1" applyFill="1" applyBorder="1" applyAlignment="1">
      <alignment horizontal="left" vertical="center" wrapText="1"/>
    </xf>
    <xf numFmtId="0" fontId="33" fillId="11" borderId="10" xfId="0" applyFont="1" applyFill="1" applyBorder="1" applyAlignment="1">
      <alignment horizontal="center" vertical="center" wrapText="1"/>
    </xf>
    <xf numFmtId="0" fontId="33" fillId="11" borderId="2" xfId="0" applyFont="1" applyFill="1" applyBorder="1" applyAlignment="1">
      <alignment horizontal="center" vertical="center" wrapText="1"/>
    </xf>
    <xf numFmtId="0" fontId="27" fillId="11" borderId="58" xfId="0" applyFont="1" applyFill="1" applyBorder="1" applyAlignment="1">
      <alignment horizontal="left" vertical="center"/>
    </xf>
    <xf numFmtId="0" fontId="27" fillId="11" borderId="33" xfId="0" applyFont="1" applyFill="1" applyBorder="1" applyAlignment="1">
      <alignment horizontal="left" vertical="center"/>
    </xf>
    <xf numFmtId="0" fontId="27" fillId="11" borderId="59" xfId="0" applyFont="1" applyFill="1" applyBorder="1" applyAlignment="1">
      <alignment horizontal="left" vertical="center"/>
    </xf>
    <xf numFmtId="0" fontId="27" fillId="11" borderId="60" xfId="0" applyFont="1" applyFill="1" applyBorder="1" applyAlignment="1">
      <alignment horizontal="left" vertical="center"/>
    </xf>
    <xf numFmtId="0" fontId="27" fillId="11" borderId="46" xfId="0" applyFont="1" applyFill="1" applyBorder="1" applyAlignment="1">
      <alignment horizontal="left" vertical="center"/>
    </xf>
    <xf numFmtId="0" fontId="27" fillId="11" borderId="61" xfId="0" applyFont="1" applyFill="1" applyBorder="1" applyAlignment="1">
      <alignment horizontal="left" vertical="center"/>
    </xf>
    <xf numFmtId="0" fontId="27" fillId="11" borderId="16" xfId="0" applyFont="1" applyFill="1" applyBorder="1" applyAlignment="1">
      <alignment horizontal="center" vertical="center"/>
    </xf>
    <xf numFmtId="0" fontId="27" fillId="11" borderId="19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27" fillId="11" borderId="31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18" xfId="0" applyFont="1" applyFill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/>
    </xf>
    <xf numFmtId="0" fontId="43" fillId="0" borderId="1" xfId="0" applyFont="1" applyBorder="1" applyAlignment="1">
      <alignment horizontal="left"/>
    </xf>
    <xf numFmtId="0" fontId="20" fillId="11" borderId="1" xfId="0" applyFont="1" applyFill="1" applyBorder="1" applyAlignment="1">
      <alignment horizontal="left" vertical="center" wrapText="1"/>
    </xf>
    <xf numFmtId="0" fontId="20" fillId="11" borderId="1" xfId="0" applyFont="1" applyFill="1" applyBorder="1" applyAlignment="1">
      <alignment horizontal="center" vertical="center" wrapText="1"/>
    </xf>
    <xf numFmtId="0" fontId="75" fillId="11" borderId="1" xfId="0" applyFont="1" applyFill="1" applyBorder="1" applyAlignment="1">
      <alignment horizontal="center" vertical="center"/>
    </xf>
  </cellXfs>
  <cellStyles count="51">
    <cellStyle name="Comma" xfId="1" builtinId="3"/>
    <cellStyle name="Comma 2" xfId="12" xr:uid="{00000000-0005-0000-0000-000001000000}"/>
    <cellStyle name="Comma 3" xfId="13" xr:uid="{00000000-0005-0000-0000-000002000000}"/>
    <cellStyle name="Comma 4" xfId="3" xr:uid="{00000000-0005-0000-0000-000003000000}"/>
    <cellStyle name="Comma 4 2" xfId="10" xr:uid="{00000000-0005-0000-0000-000004000000}"/>
    <cellStyle name="Comma 5" xfId="14" xr:uid="{00000000-0005-0000-0000-000005000000}"/>
    <cellStyle name="Comma 6" xfId="8" xr:uid="{00000000-0005-0000-0000-000006000000}"/>
    <cellStyle name="Comma 7" xfId="15" xr:uid="{00000000-0005-0000-0000-000007000000}"/>
    <cellStyle name="Comma 8" xfId="16" xr:uid="{00000000-0005-0000-0000-000008000000}"/>
    <cellStyle name="Comma0" xfId="17" xr:uid="{00000000-0005-0000-0000-000009000000}"/>
    <cellStyle name="Currency 10" xfId="18" xr:uid="{00000000-0005-0000-0000-00000A000000}"/>
    <cellStyle name="Currency 11" xfId="19" xr:uid="{00000000-0005-0000-0000-00000B000000}"/>
    <cellStyle name="Currency 2" xfId="20" xr:uid="{00000000-0005-0000-0000-00000C000000}"/>
    <cellStyle name="Currency 3" xfId="21" xr:uid="{00000000-0005-0000-0000-00000D000000}"/>
    <cellStyle name="Currency 4" xfId="22" xr:uid="{00000000-0005-0000-0000-00000E000000}"/>
    <cellStyle name="Currency 5" xfId="23" xr:uid="{00000000-0005-0000-0000-00000F000000}"/>
    <cellStyle name="Currency 6" xfId="24" xr:uid="{00000000-0005-0000-0000-000010000000}"/>
    <cellStyle name="Currency 7" xfId="25" xr:uid="{00000000-0005-0000-0000-000011000000}"/>
    <cellStyle name="Currency 8" xfId="26" xr:uid="{00000000-0005-0000-0000-000012000000}"/>
    <cellStyle name="Currency 9" xfId="27" xr:uid="{00000000-0005-0000-0000-000013000000}"/>
    <cellStyle name="Currency0" xfId="28" xr:uid="{00000000-0005-0000-0000-000014000000}"/>
    <cellStyle name="Normal" xfId="0" builtinId="0"/>
    <cellStyle name="Normal 2" xfId="4" xr:uid="{00000000-0005-0000-0000-000016000000}"/>
    <cellStyle name="Normal 2 2" xfId="9" xr:uid="{00000000-0005-0000-0000-000017000000}"/>
    <cellStyle name="Normal 2 3" xfId="29" xr:uid="{00000000-0005-0000-0000-000018000000}"/>
    <cellStyle name="Normal 2 4" xfId="50" xr:uid="{00000000-0005-0000-0000-000019000000}"/>
    <cellStyle name="Normal 3" xfId="30" xr:uid="{00000000-0005-0000-0000-00001A000000}"/>
    <cellStyle name="Normal 4" xfId="31" xr:uid="{00000000-0005-0000-0000-00001B000000}"/>
    <cellStyle name="Normal 4 2" xfId="32" xr:uid="{00000000-0005-0000-0000-00001C000000}"/>
    <cellStyle name="Normal 4 3" xfId="6" xr:uid="{00000000-0005-0000-0000-00001D000000}"/>
    <cellStyle name="Normal 5" xfId="33" xr:uid="{00000000-0005-0000-0000-00001E000000}"/>
    <cellStyle name="Normal 6" xfId="34" xr:uid="{00000000-0005-0000-0000-00001F000000}"/>
    <cellStyle name="Normal 7" xfId="5" xr:uid="{00000000-0005-0000-0000-000020000000}"/>
    <cellStyle name="Normal 8" xfId="48" xr:uid="{00000000-0005-0000-0000-000021000000}"/>
    <cellStyle name="Percent" xfId="2" builtinId="5"/>
    <cellStyle name="Percent 10" xfId="49" xr:uid="{00000000-0005-0000-0000-000023000000}"/>
    <cellStyle name="Percent 2" xfId="7" xr:uid="{00000000-0005-0000-0000-000024000000}"/>
    <cellStyle name="Percent 2 2" xfId="35" xr:uid="{00000000-0005-0000-0000-000025000000}"/>
    <cellStyle name="Percent 2 2 2" xfId="36" xr:uid="{00000000-0005-0000-0000-000026000000}"/>
    <cellStyle name="Percent 2 3" xfId="37" xr:uid="{00000000-0005-0000-0000-000027000000}"/>
    <cellStyle name="Percent 2 4" xfId="11" xr:uid="{00000000-0005-0000-0000-000028000000}"/>
    <cellStyle name="Percent 3" xfId="38" xr:uid="{00000000-0005-0000-0000-000029000000}"/>
    <cellStyle name="Percent 4" xfId="39" xr:uid="{00000000-0005-0000-0000-00002A000000}"/>
    <cellStyle name="Percent 5" xfId="40" xr:uid="{00000000-0005-0000-0000-00002B000000}"/>
    <cellStyle name="Percent 5 2" xfId="41" xr:uid="{00000000-0005-0000-0000-00002C000000}"/>
    <cellStyle name="Percent 6" xfId="42" xr:uid="{00000000-0005-0000-0000-00002D000000}"/>
    <cellStyle name="Percent 7" xfId="43" xr:uid="{00000000-0005-0000-0000-00002E000000}"/>
    <cellStyle name="Percent 8" xfId="44" xr:uid="{00000000-0005-0000-0000-00002F000000}"/>
    <cellStyle name="Percent 9" xfId="45" xr:uid="{00000000-0005-0000-0000-000030000000}"/>
    <cellStyle name="Standard_07-09-07-procurement plan Calarasi-hru-en" xfId="46" xr:uid="{00000000-0005-0000-0000-000031000000}"/>
    <cellStyle name="Standard_cost breakdown pumps sliven5" xfId="47" xr:uid="{00000000-0005-0000-0000-000032000000}"/>
  </cellStyles>
  <dxfs count="0"/>
  <tableStyles count="0" defaultTableStyle="TableStyleMedium9" defaultPivotStyle="PivotStyleLight16"/>
  <colors>
    <mruColors>
      <color rgb="FF99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biu/Alternative_1/Prognoza_zonala_zona_Agnita_Alternative_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icolescu/Documents/BACAU_APA/MASTER%20PLAN/Capitole%20MP/HHInc_Statistics+Forecasts_BC_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iecte-FINantari/P.O.I.M/COVASNA%20POIM/Revizie%20Master%20Plan%20CV_martie%202020/Master%20Plan%20-%20predare%2009.03.2020/Anexe/Lista%20de%20investitii/Lista%20investitii%20MP%20Covasna_rev%2006.03.20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AppData/Local/Temp/Lista_investitii_POS_Mediu_rev_2014_04_8_modif%20marcat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ry/AppData/Local/Microsoft/Windows/Temporary%20Internet%20Files/Content.Outlook/R9FJQJIB/Anexe%206.3.1,%206.3.2,%206.3.3_09.10.20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icolescu/Documents/BACAU_APA/MASTER%20PLAN/Bacau%20MP%20Andreea/Lista_investitii_POS_Mediu_rev_2014_03_06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MASTER%20PLAN%20_BACAU_de%20predat/Vineri_14_03_2014/Lista_investitii_POS_Mediu_rev_2014_03_0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Revizie%20Master%20Plan%20CV%20Aprilie%202020%20rev%202/Lista%20investitii%20MP%20Covasna%20(investitie%20de%20baza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AppData/Local/Temp/Lista%20investitii%20MP%20Covasna%20(investitie%20de%20baza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AppData/Local/Temp/Bacau%20-%20populatie_consumuri_investitii_cheltuieli_operare-4-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e%20lucru/ARAD/Chestionare%20MP/Din%20teritoriu_ultime/Investitii%20in%20derulare/RURAL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lj-deseuri/aplicatie-2013/Cost%20estimate%20Dolj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COVASNA%20POIM/Revizie%20Master%20Plan%20CV_martie%202020/01.%20AQUAVOC%20PA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COVASNA%20POIM/Revizie%20Master%20Plan%20CV_martie%202020/01.%20AQUAVOC%20PAU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ASNA%20POIM/Revizie%20Master%20Plan%20CV_martie%202020/Lista%20investitii%20MP%20Covasna%20rev%20(investitie%20de%20baza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DALI~1.CUC/LOCALS~1/Temp/ezCBA%20Dolj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xxxx/6889P03%20TAPPP/Mures/Feasibility%20study/100122%20costs%20Mures%20_FS%20rev%202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iecte-FINantari/P.O.I.M/BACAU%20POIM/Revizie%20ACB%20Bacau_Decembrie%202019/DevGen%20BC_preturi%20CURENTE-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ca.tofan/Desktop/Anca%201/PPP/Arad/Arad%20MP%20EN/Cost%20estimate%20Arad%20080711%20unit%20cos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ibiu\Alternative_1\Prognoza_zonala_zona_Agnita_Alternative_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ettlerd/Local%20Settings/Temporary%20Internet%20Files/OLKC/AnalizaWM-Neamt%20(version%20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/AppData/Local/Temp/Temp1_091222%20CBA%20files%20Dolj.zip/Copy%20of%20Cost%20estimate%20Dolj%20county%2010.06.2009_EN%20F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judet"/>
      <sheetName val="mass flows"/>
      <sheetName val="Compozitia_municipale"/>
      <sheetName val="PROG. municipale"/>
      <sheetName val="Prognoza bio"/>
      <sheetName val="Prognoza deseuri ambalaje"/>
      <sheetName val="municipal waste"/>
      <sheetName val="pondere bio"/>
      <sheetName val="Sheet1"/>
      <sheetName val="Impartirea pe regiuni"/>
      <sheetName val="Impartirea pe jud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x_InflExch"/>
      <sheetName val="Aux_HHInc"/>
      <sheetName val="ROM_01"/>
      <sheetName val="ROM_02"/>
      <sheetName val="ROM_03"/>
      <sheetName val="ROM_04"/>
      <sheetName val="ROM_05"/>
      <sheetName val="ROM_06"/>
      <sheetName val="ROM_07"/>
      <sheetName val="ROM_08"/>
      <sheetName val="ROM_09"/>
      <sheetName val="ROM_10"/>
      <sheetName val="ROM_11"/>
      <sheetName val="ROM_12"/>
      <sheetName val="CEN_04"/>
      <sheetName val="CEN_05"/>
      <sheetName val="CEN_06"/>
      <sheetName val="CEN_07"/>
      <sheetName val="CEN_08_"/>
      <sheetName val="South_04"/>
      <sheetName val="South_05"/>
      <sheetName val="South_06"/>
      <sheetName val="South_07"/>
      <sheetName val="South_08"/>
      <sheetName val="North_East_08"/>
      <sheetName val="North_East_09"/>
      <sheetName val="North_East_10"/>
      <sheetName val="South_West_11"/>
      <sheetName val="South_West_12"/>
      <sheetName val="ROM_ProjTaxContr"/>
      <sheetName val="NORTH_EAST_ProjTaxContr_"/>
      <sheetName val="ROM_FORECAST"/>
      <sheetName val="NORTH_EAST_FORECAST"/>
      <sheetName val="VS_FORECAST_TOT"/>
      <sheetName val="VS_FORECAST_URBAN"/>
      <sheetName val="VS_FORECAST_RURAL_"/>
      <sheetName val="Fig 2.16_CBA"/>
      <sheetName val="CEN_ProjTaxContr"/>
      <sheetName val="CENTRE_FORECAST"/>
      <sheetName val="HR_FORECAST_TOT"/>
      <sheetName val="HR_FORECAST_URBAN"/>
      <sheetName val="HR_FORECAST_RURAL"/>
      <sheetName val="SOUTH_FORECAST"/>
      <sheetName val="SOUTH_ProjTaxContr"/>
      <sheetName val="DB_FORECAST_TOT"/>
      <sheetName val="DB_FORECAST_URBAN"/>
      <sheetName val="DB_FORECAST_RURAL"/>
      <sheetName val="Summary_table"/>
      <sheetName val="FIG_gross_pc_income_by_decile"/>
      <sheetName val="FIG_HHInc_1_(2005)"/>
      <sheetName val="FIG_HHInc_1_(2008)"/>
      <sheetName val="FIG_HHInc_2"/>
      <sheetName val="FIG_HH_INC-EXP"/>
      <sheetName val="FIG_HHExp_1"/>
      <sheetName val="FIG_HHExp_2"/>
      <sheetName val="FIG_HHExpComServ"/>
      <sheetName val="FIG_HHExpFood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>
        <row r="24">
          <cell r="K24">
            <v>2.5969499999999996</v>
          </cell>
        </row>
        <row r="31">
          <cell r="J31">
            <v>1027.2484003143766</v>
          </cell>
        </row>
      </sheetData>
      <sheetData sheetId="34" refreshError="1">
        <row r="24">
          <cell r="K24">
            <v>2.5969499999999996</v>
          </cell>
        </row>
        <row r="31">
          <cell r="J31">
            <v>1223.5474248043181</v>
          </cell>
        </row>
      </sheetData>
      <sheetData sheetId="35" refreshError="1">
        <row r="24">
          <cell r="K24">
            <v>2.5969499999999996</v>
          </cell>
        </row>
        <row r="31">
          <cell r="J31">
            <v>898.49339167063488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 (2)"/>
      <sheetName val="Sheet1"/>
    </sheetNames>
    <sheetDataSet>
      <sheetData sheetId="0" refreshError="1"/>
      <sheetData sheetId="1" refreshError="1"/>
      <sheetData sheetId="2">
        <row r="10">
          <cell r="J10">
            <v>10094149</v>
          </cell>
          <cell r="K10">
            <v>0</v>
          </cell>
          <cell r="L10">
            <v>0</v>
          </cell>
          <cell r="M10">
            <v>0</v>
          </cell>
          <cell r="N10">
            <v>10094149</v>
          </cell>
          <cell r="O10">
            <v>0</v>
          </cell>
        </row>
        <row r="20">
          <cell r="J20">
            <v>3786446</v>
          </cell>
          <cell r="K20">
            <v>0</v>
          </cell>
          <cell r="L20">
            <v>0</v>
          </cell>
          <cell r="M20">
            <v>0</v>
          </cell>
          <cell r="N20">
            <v>3786446</v>
          </cell>
          <cell r="O20">
            <v>0</v>
          </cell>
        </row>
        <row r="41">
          <cell r="I41">
            <v>4446320</v>
          </cell>
          <cell r="J41">
            <v>4446320</v>
          </cell>
          <cell r="K41">
            <v>0</v>
          </cell>
          <cell r="L41">
            <v>0</v>
          </cell>
          <cell r="M41">
            <v>0</v>
          </cell>
          <cell r="N41">
            <v>4446320</v>
          </cell>
          <cell r="O41">
            <v>0</v>
          </cell>
        </row>
        <row r="54">
          <cell r="I54">
            <v>960191</v>
          </cell>
          <cell r="J54">
            <v>960191</v>
          </cell>
          <cell r="K54">
            <v>0</v>
          </cell>
          <cell r="L54">
            <v>0</v>
          </cell>
          <cell r="M54">
            <v>0</v>
          </cell>
          <cell r="N54">
            <v>960191</v>
          </cell>
          <cell r="O54">
            <v>0</v>
          </cell>
        </row>
        <row r="68">
          <cell r="I68">
            <v>4259248</v>
          </cell>
          <cell r="J68">
            <v>4259248</v>
          </cell>
          <cell r="K68">
            <v>0</v>
          </cell>
          <cell r="L68">
            <v>0</v>
          </cell>
          <cell r="M68">
            <v>0</v>
          </cell>
          <cell r="N68">
            <v>4259248</v>
          </cell>
          <cell r="O68">
            <v>0</v>
          </cell>
        </row>
        <row r="92">
          <cell r="I92">
            <v>4879009</v>
          </cell>
          <cell r="J92">
            <v>3107237</v>
          </cell>
          <cell r="K92">
            <v>1771772</v>
          </cell>
          <cell r="L92">
            <v>0</v>
          </cell>
          <cell r="M92">
            <v>0</v>
          </cell>
          <cell r="N92">
            <v>3107237</v>
          </cell>
          <cell r="O92">
            <v>1771772</v>
          </cell>
        </row>
        <row r="112">
          <cell r="I112">
            <v>3206391</v>
          </cell>
          <cell r="J112">
            <v>3206391</v>
          </cell>
          <cell r="K112">
            <v>0</v>
          </cell>
          <cell r="L112">
            <v>0</v>
          </cell>
          <cell r="M112">
            <v>0</v>
          </cell>
          <cell r="N112">
            <v>3206391</v>
          </cell>
          <cell r="O112">
            <v>0</v>
          </cell>
        </row>
        <row r="125">
          <cell r="I125">
            <v>1107639</v>
          </cell>
          <cell r="J125">
            <v>1107639</v>
          </cell>
          <cell r="K125">
            <v>0</v>
          </cell>
          <cell r="L125">
            <v>0</v>
          </cell>
          <cell r="M125">
            <v>0</v>
          </cell>
          <cell r="N125">
            <v>1107639</v>
          </cell>
          <cell r="O125">
            <v>0</v>
          </cell>
        </row>
        <row r="141">
          <cell r="I141">
            <v>8299657.75</v>
          </cell>
          <cell r="J141">
            <v>8299657.75</v>
          </cell>
          <cell r="K141">
            <v>0</v>
          </cell>
          <cell r="L141">
            <v>0</v>
          </cell>
          <cell r="M141">
            <v>0</v>
          </cell>
          <cell r="N141">
            <v>7053666.75</v>
          </cell>
          <cell r="O141">
            <v>1245991</v>
          </cell>
        </row>
        <row r="148">
          <cell r="O148">
            <v>667000</v>
          </cell>
        </row>
        <row r="149">
          <cell r="O149">
            <v>430500</v>
          </cell>
        </row>
        <row r="150">
          <cell r="O150">
            <v>91183</v>
          </cell>
        </row>
        <row r="151">
          <cell r="O151">
            <v>57308</v>
          </cell>
        </row>
        <row r="170">
          <cell r="I170">
            <v>9236598</v>
          </cell>
          <cell r="J170">
            <v>969868</v>
          </cell>
          <cell r="K170">
            <v>8266730</v>
          </cell>
          <cell r="L170">
            <v>0</v>
          </cell>
          <cell r="M170">
            <v>0</v>
          </cell>
          <cell r="N170">
            <v>969868</v>
          </cell>
          <cell r="O170">
            <v>8266730</v>
          </cell>
        </row>
        <row r="198">
          <cell r="I198">
            <v>1053017</v>
          </cell>
          <cell r="J198">
            <v>1053017</v>
          </cell>
          <cell r="K198">
            <v>0</v>
          </cell>
          <cell r="L198">
            <v>0</v>
          </cell>
          <cell r="M198">
            <v>0</v>
          </cell>
          <cell r="N198">
            <v>1053017</v>
          </cell>
          <cell r="O198">
            <v>0</v>
          </cell>
        </row>
        <row r="205">
          <cell r="I205">
            <v>4448690</v>
          </cell>
          <cell r="J205">
            <v>0</v>
          </cell>
          <cell r="K205">
            <v>4448690</v>
          </cell>
          <cell r="L205">
            <v>0</v>
          </cell>
          <cell r="M205">
            <v>0</v>
          </cell>
          <cell r="N205">
            <v>0</v>
          </cell>
          <cell r="O205">
            <v>4448690</v>
          </cell>
        </row>
        <row r="220">
          <cell r="I220">
            <v>86089</v>
          </cell>
          <cell r="J220">
            <v>86089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86089</v>
          </cell>
        </row>
        <row r="221">
          <cell r="O221">
            <v>25470</v>
          </cell>
        </row>
        <row r="222">
          <cell r="O222">
            <v>60619</v>
          </cell>
        </row>
        <row r="223"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</row>
        <row r="233">
          <cell r="I233">
            <v>1770717</v>
          </cell>
          <cell r="J233">
            <v>1770717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1770717</v>
          </cell>
        </row>
        <row r="238">
          <cell r="I238">
            <v>7063392</v>
          </cell>
          <cell r="J238">
            <v>7063392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7063392</v>
          </cell>
        </row>
        <row r="255">
          <cell r="I255">
            <v>4396696</v>
          </cell>
          <cell r="J255">
            <v>3218989</v>
          </cell>
          <cell r="K255">
            <v>1177707</v>
          </cell>
          <cell r="L255">
            <v>0</v>
          </cell>
          <cell r="M255">
            <v>0</v>
          </cell>
          <cell r="N255">
            <v>0</v>
          </cell>
          <cell r="O255">
            <v>4396696</v>
          </cell>
        </row>
        <row r="256">
          <cell r="O256">
            <v>202175</v>
          </cell>
        </row>
        <row r="257">
          <cell r="O257">
            <v>517248</v>
          </cell>
        </row>
        <row r="258">
          <cell r="O258">
            <v>10404</v>
          </cell>
        </row>
        <row r="259">
          <cell r="O259">
            <v>10404</v>
          </cell>
        </row>
        <row r="260">
          <cell r="O260">
            <v>191026</v>
          </cell>
        </row>
        <row r="261">
          <cell r="O261">
            <v>1552500</v>
          </cell>
        </row>
        <row r="262">
          <cell r="O262">
            <v>506000</v>
          </cell>
        </row>
        <row r="263">
          <cell r="O263">
            <v>229232</v>
          </cell>
        </row>
        <row r="270">
          <cell r="I270">
            <v>10468163</v>
          </cell>
          <cell r="J270">
            <v>5111672</v>
          </cell>
          <cell r="K270">
            <v>3751594</v>
          </cell>
          <cell r="L270">
            <v>1604897</v>
          </cell>
          <cell r="M270">
            <v>0</v>
          </cell>
          <cell r="N270">
            <v>0</v>
          </cell>
          <cell r="O270">
            <v>10468163</v>
          </cell>
        </row>
        <row r="297">
          <cell r="I297">
            <v>44573</v>
          </cell>
          <cell r="J297">
            <v>44573</v>
          </cell>
          <cell r="K297">
            <v>0</v>
          </cell>
          <cell r="L297">
            <v>0</v>
          </cell>
          <cell r="M297">
            <v>0</v>
          </cell>
          <cell r="N297">
            <v>44573</v>
          </cell>
          <cell r="O297">
            <v>0</v>
          </cell>
        </row>
        <row r="299">
          <cell r="I299">
            <v>5322924</v>
          </cell>
          <cell r="J299">
            <v>5322924</v>
          </cell>
          <cell r="K299">
            <v>0</v>
          </cell>
          <cell r="L299">
            <v>0</v>
          </cell>
          <cell r="M299">
            <v>0</v>
          </cell>
          <cell r="N299">
            <v>5322924</v>
          </cell>
          <cell r="O299">
            <v>0</v>
          </cell>
        </row>
        <row r="315">
          <cell r="I315">
            <v>370470</v>
          </cell>
          <cell r="J315">
            <v>0</v>
          </cell>
          <cell r="K315">
            <v>370470</v>
          </cell>
          <cell r="L315">
            <v>0</v>
          </cell>
          <cell r="M315">
            <v>0</v>
          </cell>
          <cell r="N315">
            <v>0</v>
          </cell>
          <cell r="O315">
            <v>370470</v>
          </cell>
        </row>
        <row r="318">
          <cell r="I318">
            <v>863286</v>
          </cell>
          <cell r="J318">
            <v>0</v>
          </cell>
          <cell r="K318">
            <v>863286</v>
          </cell>
          <cell r="L318">
            <v>0</v>
          </cell>
          <cell r="M318">
            <v>0</v>
          </cell>
          <cell r="N318">
            <v>0</v>
          </cell>
          <cell r="O318">
            <v>863286</v>
          </cell>
        </row>
        <row r="331">
          <cell r="I331">
            <v>645043</v>
          </cell>
          <cell r="J331">
            <v>0</v>
          </cell>
          <cell r="K331">
            <v>645043</v>
          </cell>
          <cell r="L331">
            <v>0</v>
          </cell>
          <cell r="M331">
            <v>0</v>
          </cell>
          <cell r="N331">
            <v>0</v>
          </cell>
          <cell r="O331">
            <v>645043</v>
          </cell>
        </row>
        <row r="336">
          <cell r="I336">
            <v>3898172</v>
          </cell>
          <cell r="J336">
            <v>0</v>
          </cell>
          <cell r="K336">
            <v>3898172</v>
          </cell>
          <cell r="L336">
            <v>0</v>
          </cell>
          <cell r="M336">
            <v>0</v>
          </cell>
          <cell r="N336">
            <v>0</v>
          </cell>
          <cell r="O336">
            <v>3898172</v>
          </cell>
        </row>
        <row r="354">
          <cell r="I354">
            <v>4276354</v>
          </cell>
          <cell r="J354">
            <v>3356738</v>
          </cell>
          <cell r="K354">
            <v>919616</v>
          </cell>
          <cell r="L354">
            <v>0</v>
          </cell>
          <cell r="M354">
            <v>0</v>
          </cell>
          <cell r="N354">
            <v>3356738</v>
          </cell>
          <cell r="O354">
            <v>919616</v>
          </cell>
        </row>
        <row r="374">
          <cell r="I374">
            <v>3640901</v>
          </cell>
          <cell r="J374">
            <v>0</v>
          </cell>
          <cell r="K374">
            <v>3265758</v>
          </cell>
          <cell r="L374">
            <v>375143</v>
          </cell>
          <cell r="M374">
            <v>0</v>
          </cell>
          <cell r="N374">
            <v>0</v>
          </cell>
          <cell r="O374">
            <v>3640901</v>
          </cell>
        </row>
        <row r="396"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O396">
            <v>0</v>
          </cell>
        </row>
        <row r="408">
          <cell r="I408">
            <v>741444</v>
          </cell>
          <cell r="J408">
            <v>741444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741444</v>
          </cell>
        </row>
        <row r="409">
          <cell r="J409">
            <v>741444</v>
          </cell>
        </row>
        <row r="410">
          <cell r="I410">
            <v>161644</v>
          </cell>
          <cell r="J410">
            <v>161644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161644</v>
          </cell>
        </row>
        <row r="423">
          <cell r="I423">
            <v>2268261</v>
          </cell>
          <cell r="J423">
            <v>1321022</v>
          </cell>
          <cell r="K423">
            <v>947239</v>
          </cell>
          <cell r="L423">
            <v>0</v>
          </cell>
          <cell r="M423">
            <v>0</v>
          </cell>
          <cell r="N423">
            <v>0</v>
          </cell>
          <cell r="O423">
            <v>2268261</v>
          </cell>
        </row>
        <row r="430">
          <cell r="J430">
            <v>112200</v>
          </cell>
        </row>
        <row r="431">
          <cell r="J431">
            <v>1069500</v>
          </cell>
        </row>
        <row r="432">
          <cell r="J432">
            <v>82014</v>
          </cell>
        </row>
        <row r="433">
          <cell r="J433">
            <v>57308</v>
          </cell>
        </row>
        <row r="434">
          <cell r="I434">
            <v>3957787</v>
          </cell>
          <cell r="J434">
            <v>2535601</v>
          </cell>
          <cell r="K434">
            <v>1422186</v>
          </cell>
          <cell r="L434">
            <v>0</v>
          </cell>
          <cell r="M434">
            <v>0</v>
          </cell>
          <cell r="N434">
            <v>0</v>
          </cell>
          <cell r="O434">
            <v>3957787</v>
          </cell>
        </row>
        <row r="450">
          <cell r="I450">
            <v>1362100</v>
          </cell>
          <cell r="J450">
            <v>1362100</v>
          </cell>
          <cell r="K450">
            <v>0</v>
          </cell>
          <cell r="L450">
            <v>0</v>
          </cell>
          <cell r="M450">
            <v>0</v>
          </cell>
          <cell r="N450">
            <v>1362100</v>
          </cell>
          <cell r="O450">
            <v>0</v>
          </cell>
        </row>
        <row r="461">
          <cell r="I461">
            <v>9029587</v>
          </cell>
          <cell r="J461">
            <v>0</v>
          </cell>
          <cell r="K461">
            <v>9029587</v>
          </cell>
          <cell r="L461">
            <v>0</v>
          </cell>
          <cell r="M461">
            <v>0</v>
          </cell>
          <cell r="N461">
            <v>0</v>
          </cell>
          <cell r="O461">
            <v>9029587</v>
          </cell>
        </row>
        <row r="486">
          <cell r="I486">
            <v>1477342</v>
          </cell>
          <cell r="J486">
            <v>0</v>
          </cell>
          <cell r="K486">
            <v>1477342</v>
          </cell>
          <cell r="L486">
            <v>0</v>
          </cell>
          <cell r="M486">
            <v>0</v>
          </cell>
          <cell r="N486">
            <v>0</v>
          </cell>
          <cell r="O486">
            <v>1477342</v>
          </cell>
        </row>
        <row r="493">
          <cell r="I493">
            <v>6805429</v>
          </cell>
          <cell r="J493">
            <v>5581786</v>
          </cell>
          <cell r="K493">
            <v>1223643</v>
          </cell>
          <cell r="L493">
            <v>0</v>
          </cell>
          <cell r="M493">
            <v>0</v>
          </cell>
          <cell r="N493">
            <v>1206128</v>
          </cell>
          <cell r="O493">
            <v>5599301</v>
          </cell>
        </row>
        <row r="494">
          <cell r="J494">
            <v>1514200</v>
          </cell>
        </row>
        <row r="495">
          <cell r="J495">
            <v>350215</v>
          </cell>
        </row>
        <row r="496">
          <cell r="J496">
            <v>1206400</v>
          </cell>
        </row>
        <row r="499">
          <cell r="J499">
            <v>1141300</v>
          </cell>
        </row>
        <row r="500">
          <cell r="J500">
            <v>70043</v>
          </cell>
        </row>
        <row r="501">
          <cell r="J501">
            <v>93500</v>
          </cell>
        </row>
        <row r="515">
          <cell r="I515">
            <v>1224700</v>
          </cell>
          <cell r="J515">
            <v>1224700</v>
          </cell>
          <cell r="K515">
            <v>0</v>
          </cell>
          <cell r="L515">
            <v>0</v>
          </cell>
          <cell r="M515">
            <v>0</v>
          </cell>
          <cell r="N515">
            <v>1224700</v>
          </cell>
          <cell r="O515">
            <v>0</v>
          </cell>
        </row>
        <row r="521">
          <cell r="I521">
            <v>3927215</v>
          </cell>
          <cell r="J521">
            <v>0</v>
          </cell>
          <cell r="K521">
            <v>3927215</v>
          </cell>
          <cell r="L521">
            <v>0</v>
          </cell>
          <cell r="M521">
            <v>0</v>
          </cell>
          <cell r="N521">
            <v>0</v>
          </cell>
          <cell r="O521">
            <v>3927215</v>
          </cell>
        </row>
        <row r="537">
          <cell r="I537">
            <v>16673313</v>
          </cell>
          <cell r="J537">
            <v>16673313</v>
          </cell>
          <cell r="K537">
            <v>0</v>
          </cell>
          <cell r="L537">
            <v>0</v>
          </cell>
          <cell r="M537">
            <v>0</v>
          </cell>
          <cell r="N537">
            <v>16673313</v>
          </cell>
          <cell r="O537">
            <v>0</v>
          </cell>
        </row>
        <row r="545">
          <cell r="I545">
            <v>2513900</v>
          </cell>
          <cell r="J545">
            <v>0</v>
          </cell>
          <cell r="K545">
            <v>2513900</v>
          </cell>
          <cell r="L545">
            <v>0</v>
          </cell>
          <cell r="M545">
            <v>0</v>
          </cell>
          <cell r="N545">
            <v>0</v>
          </cell>
          <cell r="O545">
            <v>2513900</v>
          </cell>
        </row>
        <row r="557">
          <cell r="I557">
            <v>145000</v>
          </cell>
          <cell r="J557">
            <v>0</v>
          </cell>
          <cell r="K557">
            <v>145000</v>
          </cell>
          <cell r="L557">
            <v>0</v>
          </cell>
          <cell r="M557">
            <v>0</v>
          </cell>
          <cell r="N557">
            <v>0</v>
          </cell>
          <cell r="O557">
            <v>145000</v>
          </cell>
        </row>
        <row r="559">
          <cell r="I559">
            <v>3643387</v>
          </cell>
          <cell r="J559">
            <v>1891972</v>
          </cell>
          <cell r="K559">
            <v>1751415</v>
          </cell>
          <cell r="L559">
            <v>0</v>
          </cell>
          <cell r="M559">
            <v>0</v>
          </cell>
          <cell r="N559">
            <v>0</v>
          </cell>
          <cell r="O559">
            <v>3643387</v>
          </cell>
        </row>
        <row r="560">
          <cell r="J560">
            <v>870100</v>
          </cell>
        </row>
        <row r="561">
          <cell r="J561">
            <v>527000</v>
          </cell>
        </row>
        <row r="562">
          <cell r="J562">
            <v>214700</v>
          </cell>
        </row>
        <row r="563">
          <cell r="J563">
            <v>280172</v>
          </cell>
        </row>
        <row r="575">
          <cell r="I575">
            <v>1747236</v>
          </cell>
          <cell r="J575">
            <v>0</v>
          </cell>
          <cell r="K575">
            <v>1747236</v>
          </cell>
          <cell r="L575">
            <v>0</v>
          </cell>
          <cell r="M575">
            <v>0</v>
          </cell>
          <cell r="N575">
            <v>0</v>
          </cell>
          <cell r="O575">
            <v>1747236</v>
          </cell>
        </row>
        <row r="583">
          <cell r="I583">
            <v>7166462</v>
          </cell>
          <cell r="J583">
            <v>3885633</v>
          </cell>
          <cell r="K583">
            <v>3280829</v>
          </cell>
          <cell r="L583">
            <v>0</v>
          </cell>
          <cell r="M583">
            <v>0</v>
          </cell>
          <cell r="N583">
            <v>0</v>
          </cell>
          <cell r="O583">
            <v>7166462</v>
          </cell>
        </row>
        <row r="584">
          <cell r="J584">
            <v>2135700</v>
          </cell>
        </row>
        <row r="585">
          <cell r="J585">
            <v>1017000</v>
          </cell>
        </row>
        <row r="586">
          <cell r="J586">
            <v>70043</v>
          </cell>
        </row>
        <row r="587">
          <cell r="J587">
            <v>662890</v>
          </cell>
        </row>
        <row r="603">
          <cell r="I603">
            <v>2353269</v>
          </cell>
          <cell r="J603">
            <v>2353269</v>
          </cell>
          <cell r="K603">
            <v>0</v>
          </cell>
          <cell r="L603">
            <v>0</v>
          </cell>
          <cell r="M603">
            <v>0</v>
          </cell>
          <cell r="N603">
            <v>2353269</v>
          </cell>
          <cell r="O603">
            <v>0</v>
          </cell>
        </row>
        <row r="612"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</row>
        <row r="625">
          <cell r="I625">
            <v>690573</v>
          </cell>
          <cell r="J625">
            <v>690573</v>
          </cell>
          <cell r="N625">
            <v>690573</v>
          </cell>
          <cell r="O625">
            <v>0</v>
          </cell>
        </row>
        <row r="631">
          <cell r="I631">
            <v>4776069</v>
          </cell>
          <cell r="J631">
            <v>3705897</v>
          </cell>
          <cell r="K631">
            <v>1070172</v>
          </cell>
          <cell r="L631">
            <v>0</v>
          </cell>
          <cell r="M631">
            <v>0</v>
          </cell>
          <cell r="N631">
            <v>3705897</v>
          </cell>
          <cell r="O631">
            <v>1070172</v>
          </cell>
        </row>
        <row r="648"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</row>
        <row r="650">
          <cell r="I650">
            <v>1420000</v>
          </cell>
          <cell r="J650">
            <v>0</v>
          </cell>
          <cell r="K650">
            <v>1420000</v>
          </cell>
          <cell r="L650">
            <v>0</v>
          </cell>
          <cell r="M650">
            <v>0</v>
          </cell>
          <cell r="N650">
            <v>0</v>
          </cell>
          <cell r="O650">
            <v>1420000</v>
          </cell>
        </row>
        <row r="660">
          <cell r="I660">
            <v>1231599.5</v>
          </cell>
          <cell r="J660">
            <v>0</v>
          </cell>
          <cell r="K660">
            <v>1231599.5</v>
          </cell>
          <cell r="L660">
            <v>0</v>
          </cell>
          <cell r="M660">
            <v>0</v>
          </cell>
          <cell r="N660">
            <v>0</v>
          </cell>
          <cell r="O660">
            <v>1231599.5</v>
          </cell>
        </row>
        <row r="667">
          <cell r="I667">
            <v>2176015</v>
          </cell>
          <cell r="J667">
            <v>0</v>
          </cell>
          <cell r="K667">
            <v>2176015</v>
          </cell>
          <cell r="L667">
            <v>0</v>
          </cell>
          <cell r="M667">
            <v>0</v>
          </cell>
          <cell r="N667">
            <v>0</v>
          </cell>
          <cell r="O667">
            <v>2176015</v>
          </cell>
        </row>
        <row r="682">
          <cell r="I682">
            <v>2330425</v>
          </cell>
          <cell r="J682">
            <v>1934780</v>
          </cell>
          <cell r="K682">
            <v>395645</v>
          </cell>
          <cell r="L682">
            <v>0</v>
          </cell>
          <cell r="M682">
            <v>0</v>
          </cell>
          <cell r="N682">
            <v>1934780</v>
          </cell>
          <cell r="O682">
            <v>395645</v>
          </cell>
        </row>
        <row r="695">
          <cell r="I695">
            <v>6562102</v>
          </cell>
          <cell r="J695">
            <v>0</v>
          </cell>
          <cell r="K695">
            <v>5830059</v>
          </cell>
          <cell r="L695">
            <v>732043</v>
          </cell>
          <cell r="M695">
            <v>0</v>
          </cell>
          <cell r="N695">
            <v>0</v>
          </cell>
          <cell r="O695">
            <v>6562102</v>
          </cell>
        </row>
        <row r="719">
          <cell r="I719">
            <v>0</v>
          </cell>
          <cell r="K719">
            <v>0</v>
          </cell>
          <cell r="L719">
            <v>0</v>
          </cell>
          <cell r="O719">
            <v>0</v>
          </cell>
        </row>
        <row r="721">
          <cell r="I721">
            <v>2508724</v>
          </cell>
          <cell r="J721">
            <v>2508724</v>
          </cell>
          <cell r="K721">
            <v>0</v>
          </cell>
          <cell r="L721">
            <v>0</v>
          </cell>
          <cell r="M721">
            <v>0</v>
          </cell>
          <cell r="N721">
            <v>2508724</v>
          </cell>
          <cell r="O721">
            <v>0</v>
          </cell>
        </row>
        <row r="734">
          <cell r="I734">
            <v>406227</v>
          </cell>
          <cell r="J734">
            <v>0</v>
          </cell>
          <cell r="K734">
            <v>406227</v>
          </cell>
          <cell r="L734">
            <v>0</v>
          </cell>
          <cell r="M734">
            <v>0</v>
          </cell>
          <cell r="N734">
            <v>0</v>
          </cell>
          <cell r="O734">
            <v>406227</v>
          </cell>
        </row>
        <row r="740">
          <cell r="I740">
            <v>570250</v>
          </cell>
          <cell r="J740">
            <v>0</v>
          </cell>
          <cell r="K740">
            <v>570250</v>
          </cell>
          <cell r="L740">
            <v>0</v>
          </cell>
          <cell r="M740">
            <v>0</v>
          </cell>
          <cell r="N740">
            <v>0</v>
          </cell>
          <cell r="O740">
            <v>570250</v>
          </cell>
        </row>
        <row r="752">
          <cell r="I752">
            <v>344832</v>
          </cell>
          <cell r="J752">
            <v>0</v>
          </cell>
          <cell r="K752">
            <v>344832</v>
          </cell>
          <cell r="N752">
            <v>0</v>
          </cell>
          <cell r="O752">
            <v>344832</v>
          </cell>
        </row>
        <row r="754">
          <cell r="I754">
            <v>1255529</v>
          </cell>
          <cell r="J754">
            <v>0</v>
          </cell>
          <cell r="K754">
            <v>1255529</v>
          </cell>
          <cell r="N754">
            <v>0</v>
          </cell>
          <cell r="O754">
            <v>1255529</v>
          </cell>
        </row>
        <row r="767">
          <cell r="I767">
            <v>1283400</v>
          </cell>
          <cell r="J767">
            <v>1283400</v>
          </cell>
          <cell r="N767">
            <v>1283400</v>
          </cell>
          <cell r="O767">
            <v>0</v>
          </cell>
        </row>
        <row r="769">
          <cell r="I769">
            <v>588679</v>
          </cell>
          <cell r="J769">
            <v>0</v>
          </cell>
          <cell r="K769">
            <v>588679</v>
          </cell>
          <cell r="L769">
            <v>0</v>
          </cell>
          <cell r="M769">
            <v>0</v>
          </cell>
          <cell r="N769">
            <v>0</v>
          </cell>
          <cell r="O769">
            <v>588679</v>
          </cell>
        </row>
        <row r="783">
          <cell r="I783">
            <v>1416446</v>
          </cell>
          <cell r="J783">
            <v>1416446</v>
          </cell>
          <cell r="K783">
            <v>0</v>
          </cell>
          <cell r="L783">
            <v>0</v>
          </cell>
          <cell r="M783">
            <v>0</v>
          </cell>
          <cell r="N783">
            <v>1416446</v>
          </cell>
        </row>
        <row r="789">
          <cell r="I789">
            <v>1103329</v>
          </cell>
          <cell r="J789">
            <v>0</v>
          </cell>
          <cell r="K789">
            <v>1103329</v>
          </cell>
          <cell r="L789">
            <v>0</v>
          </cell>
          <cell r="M789">
            <v>0</v>
          </cell>
          <cell r="N789">
            <v>0</v>
          </cell>
          <cell r="O789">
            <v>1103329</v>
          </cell>
        </row>
        <row r="802">
          <cell r="I802">
            <v>3191583</v>
          </cell>
          <cell r="J802">
            <v>3191583</v>
          </cell>
          <cell r="K802">
            <v>0</v>
          </cell>
          <cell r="L802">
            <v>0</v>
          </cell>
          <cell r="M802">
            <v>0</v>
          </cell>
          <cell r="N802">
            <v>3191583</v>
          </cell>
          <cell r="O802">
            <v>0</v>
          </cell>
        </row>
        <row r="811">
          <cell r="I811">
            <v>8163608</v>
          </cell>
          <cell r="J811">
            <v>7287214</v>
          </cell>
          <cell r="K811">
            <v>876394</v>
          </cell>
          <cell r="L811">
            <v>0</v>
          </cell>
          <cell r="M811">
            <v>0</v>
          </cell>
          <cell r="N811">
            <v>7287214</v>
          </cell>
          <cell r="O811">
            <v>876394</v>
          </cell>
        </row>
        <row r="827">
          <cell r="I827">
            <v>2273082</v>
          </cell>
          <cell r="J827">
            <v>2273082</v>
          </cell>
          <cell r="K827">
            <v>0</v>
          </cell>
          <cell r="L827">
            <v>0</v>
          </cell>
          <cell r="M827">
            <v>0</v>
          </cell>
          <cell r="N827">
            <v>2273082</v>
          </cell>
          <cell r="O827">
            <v>0</v>
          </cell>
        </row>
        <row r="839">
          <cell r="I839">
            <v>2198486</v>
          </cell>
          <cell r="J839">
            <v>1089286</v>
          </cell>
          <cell r="K839">
            <v>1109200</v>
          </cell>
          <cell r="L839">
            <v>0</v>
          </cell>
          <cell r="M839">
            <v>0</v>
          </cell>
          <cell r="N839">
            <v>1089286</v>
          </cell>
          <cell r="O839">
            <v>1109200</v>
          </cell>
        </row>
        <row r="854">
          <cell r="I854">
            <v>2416749</v>
          </cell>
          <cell r="J854">
            <v>2416749</v>
          </cell>
          <cell r="K854">
            <v>0</v>
          </cell>
          <cell r="L854">
            <v>0</v>
          </cell>
          <cell r="M854">
            <v>0</v>
          </cell>
          <cell r="N854">
            <v>2416749</v>
          </cell>
          <cell r="O854">
            <v>0</v>
          </cell>
        </row>
        <row r="862">
          <cell r="I862">
            <v>4239196</v>
          </cell>
          <cell r="J862">
            <v>0</v>
          </cell>
          <cell r="K862">
            <v>4239196</v>
          </cell>
          <cell r="L862">
            <v>0</v>
          </cell>
          <cell r="M862">
            <v>0</v>
          </cell>
          <cell r="N862">
            <v>0</v>
          </cell>
          <cell r="O862">
            <v>4239196</v>
          </cell>
        </row>
        <row r="879">
          <cell r="I879">
            <v>1616921.25</v>
          </cell>
          <cell r="J879">
            <v>50000</v>
          </cell>
          <cell r="K879">
            <v>1566921.25</v>
          </cell>
          <cell r="L879">
            <v>0</v>
          </cell>
          <cell r="M879">
            <v>0</v>
          </cell>
          <cell r="N879">
            <v>0</v>
          </cell>
          <cell r="O879">
            <v>1616921.25</v>
          </cell>
        </row>
        <row r="880">
          <cell r="J880">
            <v>30000</v>
          </cell>
        </row>
        <row r="881">
          <cell r="J881">
            <v>20000</v>
          </cell>
        </row>
        <row r="890">
          <cell r="I890">
            <v>3583958</v>
          </cell>
          <cell r="J890">
            <v>65600</v>
          </cell>
          <cell r="K890">
            <v>3518358</v>
          </cell>
          <cell r="L890">
            <v>0</v>
          </cell>
          <cell r="M890">
            <v>0</v>
          </cell>
          <cell r="N890">
            <v>0</v>
          </cell>
          <cell r="O890">
            <v>3583958</v>
          </cell>
        </row>
        <row r="905">
          <cell r="I905">
            <v>3804140</v>
          </cell>
          <cell r="J905">
            <v>3804140</v>
          </cell>
          <cell r="K905">
            <v>0</v>
          </cell>
          <cell r="L905">
            <v>0</v>
          </cell>
          <cell r="M905">
            <v>0</v>
          </cell>
          <cell r="N905">
            <v>3804140</v>
          </cell>
        </row>
        <row r="924">
          <cell r="I924">
            <v>9425061</v>
          </cell>
          <cell r="J924">
            <v>4975417</v>
          </cell>
          <cell r="K924">
            <v>4449644</v>
          </cell>
          <cell r="L924">
            <v>0</v>
          </cell>
          <cell r="M924">
            <v>0</v>
          </cell>
          <cell r="N924">
            <v>4975417</v>
          </cell>
          <cell r="O924">
            <v>4449644</v>
          </cell>
        </row>
        <row r="947"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</row>
        <row r="949">
          <cell r="I949">
            <v>6067599</v>
          </cell>
          <cell r="J949">
            <v>627983</v>
          </cell>
          <cell r="K949">
            <v>5439616</v>
          </cell>
          <cell r="L949">
            <v>0</v>
          </cell>
          <cell r="M949">
            <v>0</v>
          </cell>
          <cell r="N949">
            <v>627983</v>
          </cell>
          <cell r="O949">
            <v>5439616</v>
          </cell>
        </row>
        <row r="963">
          <cell r="I963">
            <v>1434940</v>
          </cell>
          <cell r="J963">
            <v>593940</v>
          </cell>
          <cell r="K963">
            <v>841000</v>
          </cell>
          <cell r="L963">
            <v>0</v>
          </cell>
          <cell r="M963">
            <v>0</v>
          </cell>
          <cell r="N963">
            <v>593940</v>
          </cell>
          <cell r="O963">
            <v>841000</v>
          </cell>
        </row>
        <row r="971">
          <cell r="I971">
            <v>3490908</v>
          </cell>
          <cell r="J971">
            <v>1662179</v>
          </cell>
          <cell r="K971">
            <v>1828729</v>
          </cell>
          <cell r="L971">
            <v>0</v>
          </cell>
          <cell r="M971">
            <v>0</v>
          </cell>
          <cell r="N971">
            <v>1662179</v>
          </cell>
          <cell r="O971">
            <v>1828729</v>
          </cell>
        </row>
        <row r="989">
          <cell r="I989">
            <v>0</v>
          </cell>
          <cell r="J989">
            <v>0</v>
          </cell>
          <cell r="K989">
            <v>0</v>
          </cell>
          <cell r="N989">
            <v>0</v>
          </cell>
          <cell r="O989">
            <v>0</v>
          </cell>
        </row>
        <row r="991">
          <cell r="I991">
            <v>4407965</v>
          </cell>
          <cell r="J991">
            <v>0</v>
          </cell>
          <cell r="K991">
            <v>4407965</v>
          </cell>
          <cell r="L991">
            <v>0</v>
          </cell>
          <cell r="M991">
            <v>0</v>
          </cell>
          <cell r="N991">
            <v>0</v>
          </cell>
          <cell r="O991">
            <v>4407965</v>
          </cell>
        </row>
        <row r="1006">
          <cell r="I1006">
            <v>900506</v>
          </cell>
          <cell r="J1006">
            <v>900506</v>
          </cell>
          <cell r="K1006">
            <v>0</v>
          </cell>
          <cell r="L1006">
            <v>0</v>
          </cell>
          <cell r="M1006">
            <v>0</v>
          </cell>
          <cell r="N1006">
            <v>900506</v>
          </cell>
          <cell r="O1006">
            <v>0</v>
          </cell>
        </row>
        <row r="1010">
          <cell r="I1010">
            <v>1685316</v>
          </cell>
          <cell r="J1010">
            <v>0</v>
          </cell>
          <cell r="K1010">
            <v>1685316</v>
          </cell>
          <cell r="L1010">
            <v>0</v>
          </cell>
          <cell r="M1010">
            <v>0</v>
          </cell>
          <cell r="N1010">
            <v>0</v>
          </cell>
          <cell r="O1010">
            <v>1685316</v>
          </cell>
        </row>
        <row r="1022">
          <cell r="I1022">
            <v>5918783</v>
          </cell>
          <cell r="J1022">
            <v>5351783</v>
          </cell>
          <cell r="K1022">
            <v>567000</v>
          </cell>
          <cell r="L1022">
            <v>0</v>
          </cell>
          <cell r="M1022">
            <v>0</v>
          </cell>
          <cell r="N1022">
            <v>4446705</v>
          </cell>
          <cell r="O1022">
            <v>1472078</v>
          </cell>
        </row>
        <row r="1030">
          <cell r="J1030">
            <v>745890</v>
          </cell>
        </row>
        <row r="1031">
          <cell r="J1031">
            <v>159188</v>
          </cell>
        </row>
        <row r="1039">
          <cell r="I1039">
            <v>11444759</v>
          </cell>
          <cell r="J1039">
            <v>2983172</v>
          </cell>
          <cell r="K1039">
            <v>8461587</v>
          </cell>
          <cell r="L1039">
            <v>0</v>
          </cell>
          <cell r="M1039">
            <v>0</v>
          </cell>
          <cell r="N1039">
            <v>0</v>
          </cell>
          <cell r="O1039">
            <v>11444759</v>
          </cell>
        </row>
        <row r="1040">
          <cell r="J1040">
            <v>1695000</v>
          </cell>
        </row>
        <row r="1041">
          <cell r="J1041">
            <v>280172</v>
          </cell>
        </row>
        <row r="1042">
          <cell r="J1042">
            <v>113000</v>
          </cell>
        </row>
        <row r="1046">
          <cell r="J1046">
            <v>895000</v>
          </cell>
        </row>
        <row r="1056">
          <cell r="I1056">
            <v>194200</v>
          </cell>
          <cell r="J1056">
            <v>0</v>
          </cell>
          <cell r="K1056">
            <v>194200</v>
          </cell>
          <cell r="L1056">
            <v>0</v>
          </cell>
          <cell r="M1056">
            <v>0</v>
          </cell>
          <cell r="N1056">
            <v>0</v>
          </cell>
          <cell r="O1056">
            <v>194200</v>
          </cell>
        </row>
        <row r="1059">
          <cell r="I1059">
            <v>4080301</v>
          </cell>
          <cell r="J1059">
            <v>4080301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O1059">
            <v>4080301</v>
          </cell>
        </row>
        <row r="1072">
          <cell r="I1072">
            <v>678500</v>
          </cell>
          <cell r="J1072">
            <v>0</v>
          </cell>
          <cell r="K1072">
            <v>678500</v>
          </cell>
          <cell r="L1072">
            <v>0</v>
          </cell>
          <cell r="M1072">
            <v>0</v>
          </cell>
          <cell r="N1072">
            <v>0</v>
          </cell>
          <cell r="O1072">
            <v>678500</v>
          </cell>
        </row>
        <row r="1075">
          <cell r="I1075">
            <v>2327715</v>
          </cell>
          <cell r="J1075">
            <v>0</v>
          </cell>
          <cell r="K1075">
            <v>2327715</v>
          </cell>
          <cell r="L1075">
            <v>0</v>
          </cell>
          <cell r="M1075">
            <v>0</v>
          </cell>
          <cell r="N1075">
            <v>0</v>
          </cell>
          <cell r="O1075">
            <v>2327715</v>
          </cell>
        </row>
        <row r="1090">
          <cell r="I1090">
            <v>7921477</v>
          </cell>
          <cell r="J1090">
            <v>4485804</v>
          </cell>
          <cell r="K1090">
            <v>3435673</v>
          </cell>
          <cell r="L1090">
            <v>0</v>
          </cell>
          <cell r="M1090">
            <v>0</v>
          </cell>
          <cell r="N1090">
            <v>4485804</v>
          </cell>
          <cell r="O1090">
            <v>3435673</v>
          </cell>
        </row>
        <row r="1112">
          <cell r="I1112">
            <v>8928933</v>
          </cell>
          <cell r="J1112">
            <v>3187645</v>
          </cell>
          <cell r="K1112">
            <v>5741288</v>
          </cell>
          <cell r="L1112">
            <v>0</v>
          </cell>
          <cell r="M1112">
            <v>0</v>
          </cell>
          <cell r="N1112">
            <v>3187645</v>
          </cell>
          <cell r="O1112">
            <v>5741288</v>
          </cell>
        </row>
        <row r="1132">
          <cell r="I1132">
            <v>17691044</v>
          </cell>
          <cell r="J1132">
            <v>17691044</v>
          </cell>
          <cell r="K1132">
            <v>0</v>
          </cell>
          <cell r="L1132">
            <v>0</v>
          </cell>
          <cell r="M1132">
            <v>0</v>
          </cell>
          <cell r="N1132">
            <v>17691044</v>
          </cell>
          <cell r="O1132">
            <v>0</v>
          </cell>
        </row>
        <row r="1165">
          <cell r="I1165">
            <v>3750215</v>
          </cell>
          <cell r="J1165">
            <v>3750215</v>
          </cell>
          <cell r="K1165">
            <v>0</v>
          </cell>
          <cell r="L1165">
            <v>0</v>
          </cell>
          <cell r="M1165">
            <v>0</v>
          </cell>
          <cell r="N1165">
            <v>3750215</v>
          </cell>
        </row>
      </sheetData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 (2)"/>
    </sheetNames>
    <sheetDataSet>
      <sheetData sheetId="0">
        <row r="12">
          <cell r="D12">
            <v>9974995</v>
          </cell>
          <cell r="H12">
            <v>9974995</v>
          </cell>
        </row>
        <row r="13">
          <cell r="D13">
            <v>8182295</v>
          </cell>
          <cell r="H13">
            <v>7092295</v>
          </cell>
          <cell r="I13">
            <v>1090000</v>
          </cell>
        </row>
        <row r="14">
          <cell r="D14">
            <v>9532105</v>
          </cell>
          <cell r="H14">
            <v>9532105</v>
          </cell>
        </row>
        <row r="28">
          <cell r="D28">
            <v>3422989.4</v>
          </cell>
          <cell r="H28">
            <v>0</v>
          </cell>
          <cell r="I28">
            <v>3422989.4</v>
          </cell>
        </row>
        <row r="29">
          <cell r="D29">
            <v>9694969</v>
          </cell>
          <cell r="H29">
            <v>0</v>
          </cell>
          <cell r="I29">
            <v>9694969</v>
          </cell>
        </row>
        <row r="32">
          <cell r="D32">
            <v>1215260</v>
          </cell>
          <cell r="H32">
            <v>1215260</v>
          </cell>
        </row>
        <row r="33">
          <cell r="D33">
            <v>1192539</v>
          </cell>
          <cell r="E33">
            <v>109000</v>
          </cell>
          <cell r="H33">
            <v>1192539</v>
          </cell>
          <cell r="I33">
            <v>109000</v>
          </cell>
        </row>
        <row r="56">
          <cell r="D56">
            <v>2698008.8</v>
          </cell>
          <cell r="H56">
            <v>2698008.8</v>
          </cell>
        </row>
        <row r="57">
          <cell r="D57">
            <v>2869038</v>
          </cell>
          <cell r="E57">
            <v>1254669</v>
          </cell>
          <cell r="H57">
            <v>2869038</v>
          </cell>
          <cell r="I57">
            <v>1254669</v>
          </cell>
        </row>
        <row r="76">
          <cell r="D76">
            <v>3940043</v>
          </cell>
          <cell r="E76">
            <v>182569</v>
          </cell>
          <cell r="H76">
            <v>3940043</v>
          </cell>
          <cell r="I76">
            <v>182569</v>
          </cell>
        </row>
        <row r="77">
          <cell r="D77">
            <v>4645038</v>
          </cell>
          <cell r="E77">
            <v>168950</v>
          </cell>
          <cell r="H77">
            <v>3161338</v>
          </cell>
          <cell r="I77">
            <v>1652650</v>
          </cell>
        </row>
        <row r="100">
          <cell r="D100">
            <v>1753699.1</v>
          </cell>
          <cell r="H100">
            <v>1345459.1</v>
          </cell>
          <cell r="I100">
            <v>408240</v>
          </cell>
        </row>
        <row r="101">
          <cell r="D101">
            <v>3642789</v>
          </cell>
          <cell r="E101">
            <v>797880</v>
          </cell>
          <cell r="H101">
            <v>2760979</v>
          </cell>
          <cell r="I101">
            <v>1679690</v>
          </cell>
        </row>
        <row r="116">
          <cell r="D116">
            <v>116751</v>
          </cell>
          <cell r="F116">
            <v>69309.2</v>
          </cell>
          <cell r="H116">
            <v>116751</v>
          </cell>
          <cell r="I116">
            <v>69309.2</v>
          </cell>
        </row>
        <row r="117">
          <cell r="D117">
            <v>3452938</v>
          </cell>
          <cell r="F117">
            <v>0</v>
          </cell>
          <cell r="H117">
            <v>2399426</v>
          </cell>
          <cell r="I117">
            <v>1053512</v>
          </cell>
        </row>
        <row r="148">
          <cell r="D148">
            <v>2703738</v>
          </cell>
          <cell r="H148">
            <v>2703738</v>
          </cell>
          <cell r="I148">
            <v>0</v>
          </cell>
        </row>
        <row r="149">
          <cell r="D149">
            <v>3647069</v>
          </cell>
          <cell r="H149">
            <v>2420819</v>
          </cell>
          <cell r="I149">
            <v>1226250</v>
          </cell>
        </row>
        <row r="156">
          <cell r="D156">
            <v>395316</v>
          </cell>
          <cell r="H156">
            <v>395316</v>
          </cell>
        </row>
        <row r="157">
          <cell r="D157">
            <v>2247219</v>
          </cell>
          <cell r="H157">
            <v>2247219</v>
          </cell>
          <cell r="I157">
            <v>0</v>
          </cell>
        </row>
        <row r="172">
          <cell r="D172">
            <v>1181017</v>
          </cell>
          <cell r="H172">
            <v>1181017</v>
          </cell>
          <cell r="I172">
            <v>0</v>
          </cell>
        </row>
        <row r="173">
          <cell r="D173">
            <v>4372069</v>
          </cell>
          <cell r="H173">
            <v>4372069</v>
          </cell>
          <cell r="I173">
            <v>0</v>
          </cell>
        </row>
        <row r="208">
          <cell r="D208">
            <v>847880</v>
          </cell>
          <cell r="H208">
            <v>847880</v>
          </cell>
        </row>
        <row r="209">
          <cell r="D209">
            <v>2488969</v>
          </cell>
          <cell r="E209">
            <v>882900</v>
          </cell>
          <cell r="H209">
            <v>2488969</v>
          </cell>
          <cell r="I209">
            <v>882900</v>
          </cell>
        </row>
        <row r="212">
          <cell r="D212">
            <v>2094438</v>
          </cell>
          <cell r="H212">
            <v>2094438</v>
          </cell>
          <cell r="I212">
            <v>0</v>
          </cell>
        </row>
        <row r="213">
          <cell r="D213">
            <v>2590732</v>
          </cell>
          <cell r="H213">
            <v>2590732</v>
          </cell>
          <cell r="I213">
            <v>0</v>
          </cell>
        </row>
        <row r="216">
          <cell r="D216">
            <v>414162.6</v>
          </cell>
          <cell r="F216">
            <v>452068</v>
          </cell>
          <cell r="H216">
            <v>414162.6</v>
          </cell>
          <cell r="I216">
            <v>452068</v>
          </cell>
        </row>
        <row r="217">
          <cell r="D217">
            <v>3294138</v>
          </cell>
          <cell r="H217">
            <v>2264088</v>
          </cell>
          <cell r="I217">
            <v>1030050</v>
          </cell>
        </row>
        <row r="220">
          <cell r="D220">
            <v>1747852</v>
          </cell>
          <cell r="E220">
            <v>837200</v>
          </cell>
          <cell r="H220">
            <v>1747852</v>
          </cell>
          <cell r="I220">
            <v>837200</v>
          </cell>
        </row>
        <row r="221">
          <cell r="D221">
            <v>5053420</v>
          </cell>
          <cell r="E221">
            <v>3128300</v>
          </cell>
          <cell r="H221">
            <v>5053420</v>
          </cell>
          <cell r="I221">
            <v>3128300</v>
          </cell>
        </row>
        <row r="248">
          <cell r="D248">
            <v>677639</v>
          </cell>
          <cell r="E248">
            <v>0</v>
          </cell>
          <cell r="H248">
            <v>677639</v>
          </cell>
          <cell r="I248">
            <v>0</v>
          </cell>
        </row>
        <row r="249">
          <cell r="D249">
            <v>2809338</v>
          </cell>
          <cell r="E249">
            <v>1156569</v>
          </cell>
          <cell r="H249">
            <v>2809338</v>
          </cell>
          <cell r="I249">
            <v>1156569</v>
          </cell>
        </row>
        <row r="272">
          <cell r="D272">
            <v>5968881</v>
          </cell>
          <cell r="E272">
            <v>0</v>
          </cell>
          <cell r="H272">
            <v>4039143</v>
          </cell>
          <cell r="I272">
            <v>1929738</v>
          </cell>
        </row>
        <row r="273">
          <cell r="D273">
            <v>4674638</v>
          </cell>
          <cell r="E273">
            <v>4988314</v>
          </cell>
          <cell r="H273">
            <v>3049460</v>
          </cell>
          <cell r="I273">
            <v>6613492</v>
          </cell>
        </row>
        <row r="284">
          <cell r="D284">
            <v>2465797.7999999998</v>
          </cell>
          <cell r="E284">
            <v>0</v>
          </cell>
          <cell r="F284">
            <v>293450</v>
          </cell>
          <cell r="H284">
            <v>2465797.7999999998</v>
          </cell>
          <cell r="I284">
            <v>293450</v>
          </cell>
        </row>
        <row r="285">
          <cell r="D285">
            <v>2761207</v>
          </cell>
          <cell r="E285">
            <v>1438800</v>
          </cell>
          <cell r="H285">
            <v>2761207</v>
          </cell>
          <cell r="I285">
            <v>1438800</v>
          </cell>
        </row>
        <row r="300">
          <cell r="D300">
            <v>2819761</v>
          </cell>
          <cell r="E300">
            <v>1912976</v>
          </cell>
          <cell r="H300">
            <v>2119761</v>
          </cell>
          <cell r="I300">
            <v>2612976</v>
          </cell>
        </row>
        <row r="301">
          <cell r="D301">
            <v>2988938</v>
          </cell>
          <cell r="E301">
            <v>2193238</v>
          </cell>
          <cell r="H301">
            <v>2988938</v>
          </cell>
          <cell r="I301">
            <v>2193238</v>
          </cell>
        </row>
        <row r="316">
          <cell r="D316">
            <v>3434440</v>
          </cell>
          <cell r="E316">
            <v>1153000</v>
          </cell>
          <cell r="H316">
            <v>2031640</v>
          </cell>
          <cell r="I316">
            <v>2555800</v>
          </cell>
        </row>
        <row r="317">
          <cell r="D317">
            <v>4404638</v>
          </cell>
          <cell r="E317">
            <v>2632007</v>
          </cell>
          <cell r="H317">
            <v>3768806.9994120002</v>
          </cell>
          <cell r="I317">
            <v>3267838.0005879998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,3,1"/>
      <sheetName val="6,3,1a"/>
      <sheetName val="6,3,1b"/>
      <sheetName val="6,3,2"/>
      <sheetName val="6,3,3"/>
      <sheetName val="Costuri unitare"/>
    </sheetNames>
    <sheetDataSet>
      <sheetData sheetId="0">
        <row r="7">
          <cell r="D7">
            <v>14832391</v>
          </cell>
        </row>
      </sheetData>
      <sheetData sheetId="1"/>
      <sheetData sheetId="2"/>
      <sheetData sheetId="3"/>
      <sheetData sheetId="4">
        <row r="9">
          <cell r="G9">
            <v>4495826</v>
          </cell>
        </row>
      </sheetData>
      <sheetData sheetId="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3.1"/>
      <sheetName val="6.3.2"/>
      <sheetName val="6.3.3."/>
      <sheetName val="Costuri unitare (2)"/>
    </sheetNames>
    <sheetDataSet>
      <sheetData sheetId="0" refreshError="1"/>
      <sheetData sheetId="1" refreshError="1"/>
      <sheetData sheetId="2">
        <row r="10">
          <cell r="H10">
            <v>9974995</v>
          </cell>
        </row>
        <row r="47">
          <cell r="H47">
            <v>4185670</v>
          </cell>
          <cell r="L47">
            <v>4185670</v>
          </cell>
        </row>
        <row r="56">
          <cell r="H56">
            <v>2066332</v>
          </cell>
          <cell r="L56">
            <v>2066332</v>
          </cell>
        </row>
        <row r="82">
          <cell r="H82">
            <v>7112404</v>
          </cell>
          <cell r="M82">
            <v>7112404</v>
          </cell>
        </row>
        <row r="92">
          <cell r="H92">
            <v>24638400</v>
          </cell>
          <cell r="M92">
            <v>24638400</v>
          </cell>
        </row>
        <row r="114">
          <cell r="H114">
            <v>1035780</v>
          </cell>
          <cell r="I114">
            <v>658148</v>
          </cell>
          <cell r="L114">
            <v>1035780</v>
          </cell>
          <cell r="M114">
            <v>658148</v>
          </cell>
        </row>
        <row r="223">
          <cell r="H223">
            <v>1000768</v>
          </cell>
          <cell r="L223">
            <v>261568</v>
          </cell>
          <cell r="M223">
            <v>739200</v>
          </cell>
        </row>
        <row r="231">
          <cell r="H231">
            <v>3934634</v>
          </cell>
          <cell r="L231">
            <v>2411834</v>
          </cell>
          <cell r="M231">
            <v>1522800</v>
          </cell>
        </row>
        <row r="257">
          <cell r="H257">
            <v>874471</v>
          </cell>
          <cell r="L257">
            <v>874471</v>
          </cell>
        </row>
        <row r="265">
          <cell r="H265">
            <v>1123919</v>
          </cell>
          <cell r="L265">
            <v>1123919</v>
          </cell>
        </row>
        <row r="288">
          <cell r="H288">
            <v>2419817</v>
          </cell>
          <cell r="J288">
            <v>629852</v>
          </cell>
          <cell r="M288">
            <v>3049669</v>
          </cell>
        </row>
        <row r="298">
          <cell r="H298">
            <v>6796359</v>
          </cell>
          <cell r="M298">
            <v>6796359</v>
          </cell>
        </row>
        <row r="319">
          <cell r="H319">
            <v>404200</v>
          </cell>
          <cell r="M319">
            <v>404200</v>
          </cell>
        </row>
        <row r="327">
          <cell r="H327">
            <v>2734469</v>
          </cell>
          <cell r="M327">
            <v>2734469</v>
          </cell>
        </row>
        <row r="346">
          <cell r="H346">
            <v>4689338</v>
          </cell>
          <cell r="M346">
            <v>4689338</v>
          </cell>
        </row>
        <row r="355">
          <cell r="H355">
            <v>7317869</v>
          </cell>
          <cell r="M355">
            <v>7317869</v>
          </cell>
        </row>
        <row r="412">
          <cell r="H412">
            <v>1681550</v>
          </cell>
          <cell r="I412">
            <v>2012519</v>
          </cell>
          <cell r="L412">
            <v>1681550</v>
          </cell>
          <cell r="M412">
            <v>2012519</v>
          </cell>
        </row>
        <row r="426">
          <cell r="H426">
            <v>3251400</v>
          </cell>
          <cell r="I426">
            <v>2514438</v>
          </cell>
          <cell r="M426">
            <v>5765838</v>
          </cell>
        </row>
        <row r="456">
          <cell r="J456">
            <v>352394.8</v>
          </cell>
          <cell r="M456">
            <v>352394.8</v>
          </cell>
        </row>
        <row r="482">
          <cell r="H482">
            <v>1049041</v>
          </cell>
          <cell r="I482">
            <v>2755328</v>
          </cell>
          <cell r="J482">
            <v>300800</v>
          </cell>
          <cell r="L482">
            <v>1049041</v>
          </cell>
          <cell r="M482">
            <v>3056128</v>
          </cell>
        </row>
        <row r="504">
          <cell r="I504">
            <v>5357048</v>
          </cell>
          <cell r="J504">
            <v>348800</v>
          </cell>
          <cell r="M504">
            <v>5705848</v>
          </cell>
        </row>
        <row r="538">
          <cell r="H538">
            <v>1884961</v>
          </cell>
          <cell r="J538">
            <v>655138</v>
          </cell>
          <cell r="M538">
            <v>2540099</v>
          </cell>
        </row>
        <row r="549">
          <cell r="H549">
            <v>3236000</v>
          </cell>
          <cell r="J549">
            <v>730300</v>
          </cell>
          <cell r="M549">
            <v>3966300</v>
          </cell>
        </row>
        <row r="605">
          <cell r="H605">
            <v>1885600</v>
          </cell>
          <cell r="M605">
            <v>1885600</v>
          </cell>
        </row>
        <row r="613">
          <cell r="H613">
            <v>2192069</v>
          </cell>
          <cell r="M613">
            <v>2192069</v>
          </cell>
        </row>
        <row r="632">
          <cell r="H632">
            <v>2127876</v>
          </cell>
          <cell r="M632">
            <v>2127876</v>
          </cell>
        </row>
        <row r="640">
          <cell r="H640">
            <v>2365300</v>
          </cell>
          <cell r="M640">
            <v>2365300</v>
          </cell>
        </row>
        <row r="658">
          <cell r="H658">
            <v>1924259.9</v>
          </cell>
          <cell r="M658">
            <v>1924259.9</v>
          </cell>
        </row>
        <row r="667">
          <cell r="H667">
            <v>2577508</v>
          </cell>
          <cell r="M667">
            <v>2577508</v>
          </cell>
        </row>
        <row r="713">
          <cell r="H713">
            <v>678117</v>
          </cell>
          <cell r="I713">
            <v>1161171</v>
          </cell>
          <cell r="J713">
            <v>779781.4</v>
          </cell>
          <cell r="L713">
            <v>678117</v>
          </cell>
          <cell r="M713">
            <v>1940952.4</v>
          </cell>
        </row>
        <row r="730">
          <cell r="H730">
            <v>1176000</v>
          </cell>
          <cell r="I730">
            <v>2236838</v>
          </cell>
          <cell r="L730">
            <v>1176000</v>
          </cell>
          <cell r="M730">
            <v>2236838</v>
          </cell>
        </row>
        <row r="789">
          <cell r="H789">
            <v>600869</v>
          </cell>
          <cell r="L789">
            <v>600869</v>
          </cell>
        </row>
        <row r="797">
          <cell r="H797">
            <v>4441369</v>
          </cell>
          <cell r="I797">
            <v>381500</v>
          </cell>
          <cell r="L797">
            <v>3255994</v>
          </cell>
          <cell r="M797">
            <v>1566875</v>
          </cell>
        </row>
        <row r="822">
          <cell r="I822">
            <v>673009.4</v>
          </cell>
          <cell r="J822">
            <v>1348015</v>
          </cell>
          <cell r="K822">
            <v>0</v>
          </cell>
          <cell r="M822">
            <v>2021024.4</v>
          </cell>
        </row>
        <row r="833">
          <cell r="I833">
            <v>1226575</v>
          </cell>
          <cell r="J833">
            <v>1849044</v>
          </cell>
          <cell r="M833">
            <v>3075619</v>
          </cell>
        </row>
        <row r="851">
          <cell r="H851">
            <v>423000</v>
          </cell>
          <cell r="J851">
            <v>260000</v>
          </cell>
          <cell r="M851">
            <v>683000</v>
          </cell>
        </row>
        <row r="860">
          <cell r="H860">
            <v>2691219</v>
          </cell>
          <cell r="I860">
            <v>2282959</v>
          </cell>
          <cell r="M860">
            <v>4974178</v>
          </cell>
        </row>
        <row r="913">
          <cell r="I913">
            <v>1672403</v>
          </cell>
          <cell r="J913">
            <v>674780</v>
          </cell>
          <cell r="M913">
            <v>2347183</v>
          </cell>
        </row>
        <row r="921">
          <cell r="I921">
            <v>1603469</v>
          </cell>
          <cell r="J921">
            <v>1177200</v>
          </cell>
          <cell r="M921">
            <v>2780669</v>
          </cell>
        </row>
        <row r="940">
          <cell r="I940">
            <v>3352190.4</v>
          </cell>
          <cell r="M940">
            <v>3352190.4</v>
          </cell>
        </row>
        <row r="954">
          <cell r="I954">
            <v>2755569</v>
          </cell>
          <cell r="J954">
            <v>2576839</v>
          </cell>
          <cell r="M954">
            <v>5332408</v>
          </cell>
        </row>
        <row r="977">
          <cell r="H977">
            <v>631538</v>
          </cell>
          <cell r="I977">
            <v>542238</v>
          </cell>
          <cell r="L977">
            <v>631538</v>
          </cell>
          <cell r="M977">
            <v>542238</v>
          </cell>
        </row>
        <row r="986">
          <cell r="H986">
            <v>5248669</v>
          </cell>
          <cell r="I986">
            <v>1475939</v>
          </cell>
          <cell r="L986">
            <v>5248669</v>
          </cell>
          <cell r="M986">
            <v>1475939</v>
          </cell>
        </row>
        <row r="1012">
          <cell r="H1012">
            <v>203838</v>
          </cell>
          <cell r="L1012">
            <v>203838</v>
          </cell>
        </row>
        <row r="1020">
          <cell r="H1020">
            <v>674376</v>
          </cell>
          <cell r="L1020">
            <v>674376</v>
          </cell>
        </row>
        <row r="1045">
          <cell r="I1045">
            <v>2701898</v>
          </cell>
          <cell r="J1045">
            <v>168700</v>
          </cell>
          <cell r="M1045">
            <v>2870598</v>
          </cell>
        </row>
        <row r="1059">
          <cell r="I1059">
            <v>2895459.08</v>
          </cell>
          <cell r="M1059">
            <v>2895459.08</v>
          </cell>
        </row>
        <row r="1080">
          <cell r="I1080">
            <v>2042138</v>
          </cell>
          <cell r="M1080">
            <v>2042138</v>
          </cell>
        </row>
        <row r="1089">
          <cell r="I1089">
            <v>2806238</v>
          </cell>
          <cell r="M1089">
            <v>2806238</v>
          </cell>
        </row>
        <row r="1108">
          <cell r="H1108">
            <v>38917</v>
          </cell>
          <cell r="M1108">
            <v>38917</v>
          </cell>
        </row>
        <row r="1116">
          <cell r="H1116">
            <v>4351519</v>
          </cell>
          <cell r="M1116">
            <v>4351519</v>
          </cell>
        </row>
        <row r="1168">
          <cell r="H1168">
            <v>1942838</v>
          </cell>
          <cell r="J1168">
            <v>449548.4</v>
          </cell>
          <cell r="M1168">
            <v>2392386.4</v>
          </cell>
        </row>
        <row r="1178">
          <cell r="H1178">
            <v>5756369</v>
          </cell>
          <cell r="M1178">
            <v>5756369</v>
          </cell>
        </row>
        <row r="1228">
          <cell r="I1228">
            <v>3488155</v>
          </cell>
          <cell r="M1228">
            <v>3488155</v>
          </cell>
        </row>
        <row r="1242">
          <cell r="I1242">
            <v>3062229</v>
          </cell>
          <cell r="M1242">
            <v>3062229</v>
          </cell>
        </row>
        <row r="1268">
          <cell r="H1268">
            <v>2352969</v>
          </cell>
          <cell r="I1268">
            <v>3376809</v>
          </cell>
          <cell r="L1268">
            <v>2352969</v>
          </cell>
          <cell r="M1268">
            <v>3376809</v>
          </cell>
        </row>
        <row r="1293">
          <cell r="H1293">
            <v>1588600</v>
          </cell>
          <cell r="I1293">
            <v>303620</v>
          </cell>
          <cell r="L1293">
            <v>902400</v>
          </cell>
          <cell r="M1293">
            <v>989820</v>
          </cell>
        </row>
        <row r="1304">
          <cell r="H1304">
            <v>2394369</v>
          </cell>
          <cell r="I1304">
            <v>3761669</v>
          </cell>
          <cell r="M1304">
            <v>6156038</v>
          </cell>
        </row>
        <row r="1358">
          <cell r="H1358">
            <v>1956746</v>
          </cell>
          <cell r="I1358">
            <v>1094480</v>
          </cell>
          <cell r="M1358">
            <v>3051226</v>
          </cell>
        </row>
        <row r="1368">
          <cell r="H1368">
            <v>2733069</v>
          </cell>
          <cell r="I1368">
            <v>1788140</v>
          </cell>
          <cell r="M1368">
            <v>4521209</v>
          </cell>
        </row>
        <row r="1388">
          <cell r="J1388">
            <v>2051651</v>
          </cell>
          <cell r="M1388">
            <v>2051651</v>
          </cell>
        </row>
        <row r="1404">
          <cell r="J1404">
            <v>4271214</v>
          </cell>
          <cell r="M1404">
            <v>4271214</v>
          </cell>
        </row>
        <row r="1437">
          <cell r="I1437">
            <v>943569</v>
          </cell>
          <cell r="M1437">
            <v>943569</v>
          </cell>
        </row>
        <row r="1455">
          <cell r="J1455">
            <v>2128403.9</v>
          </cell>
          <cell r="M1455">
            <v>2128403.9</v>
          </cell>
        </row>
        <row r="1470">
          <cell r="J1470">
            <v>3358739</v>
          </cell>
          <cell r="M1470">
            <v>3358739</v>
          </cell>
        </row>
        <row r="1501">
          <cell r="H1501">
            <v>744980</v>
          </cell>
          <cell r="I1501">
            <v>1714807</v>
          </cell>
          <cell r="J1501">
            <v>433820</v>
          </cell>
          <cell r="L1501">
            <v>744980</v>
          </cell>
          <cell r="M1501">
            <v>2148627</v>
          </cell>
        </row>
        <row r="1527">
          <cell r="H1527">
            <v>2250874</v>
          </cell>
          <cell r="J1527">
            <v>268010</v>
          </cell>
          <cell r="M1527">
            <v>2518884</v>
          </cell>
        </row>
        <row r="1538">
          <cell r="H1538">
            <v>3238188</v>
          </cell>
          <cell r="M1538">
            <v>3238188</v>
          </cell>
        </row>
        <row r="1556">
          <cell r="H1556">
            <v>542993.6</v>
          </cell>
          <cell r="I1556">
            <v>376000</v>
          </cell>
          <cell r="K1556">
            <v>0</v>
          </cell>
          <cell r="L1556">
            <v>542993.6</v>
          </cell>
          <cell r="M1556">
            <v>376000</v>
          </cell>
        </row>
        <row r="1565">
          <cell r="I1565">
            <v>4528329</v>
          </cell>
          <cell r="M1565">
            <v>4528329</v>
          </cell>
        </row>
        <row r="1589">
          <cell r="H1589">
            <v>577160</v>
          </cell>
          <cell r="L1589">
            <v>577160</v>
          </cell>
        </row>
        <row r="1597">
          <cell r="H1597">
            <v>2890838</v>
          </cell>
          <cell r="L1597">
            <v>2073337.9999999998</v>
          </cell>
          <cell r="M1597">
            <v>817500.00000000023</v>
          </cell>
        </row>
        <row r="1753">
          <cell r="J1753">
            <v>6734719.9999999981</v>
          </cell>
          <cell r="M1753">
            <v>6734719.9999999981</v>
          </cell>
        </row>
        <row r="1822">
          <cell r="I1822">
            <v>3124869</v>
          </cell>
          <cell r="M1822">
            <v>3124869</v>
          </cell>
        </row>
        <row r="1842">
          <cell r="J1842">
            <v>443199</v>
          </cell>
          <cell r="M1842">
            <v>443199</v>
          </cell>
        </row>
        <row r="1869">
          <cell r="I1869">
            <v>2356821</v>
          </cell>
          <cell r="M1869">
            <v>2356821</v>
          </cell>
        </row>
        <row r="1881">
          <cell r="I1881">
            <v>3292569</v>
          </cell>
          <cell r="M1881">
            <v>3292569</v>
          </cell>
        </row>
        <row r="1903">
          <cell r="H1903">
            <v>1273863</v>
          </cell>
          <cell r="I1903">
            <v>1536426.6</v>
          </cell>
          <cell r="M1903">
            <v>2810289.6</v>
          </cell>
        </row>
        <row r="1916">
          <cell r="H1916">
            <v>4107767</v>
          </cell>
          <cell r="I1916">
            <v>1862540</v>
          </cell>
          <cell r="M1916">
            <v>5970307</v>
          </cell>
        </row>
        <row r="1940">
          <cell r="I1940">
            <v>1802144.9</v>
          </cell>
          <cell r="J1940">
            <v>302950</v>
          </cell>
          <cell r="M1940">
            <v>2105094.9</v>
          </cell>
        </row>
        <row r="1950">
          <cell r="I1950">
            <v>2772769</v>
          </cell>
          <cell r="M1950">
            <v>2772769</v>
          </cell>
        </row>
        <row r="2000">
          <cell r="H2000">
            <v>3535895</v>
          </cell>
          <cell r="J2000">
            <v>453369</v>
          </cell>
          <cell r="M2000">
            <v>3989264</v>
          </cell>
        </row>
        <row r="2010">
          <cell r="H2010">
            <v>4055969</v>
          </cell>
          <cell r="M2010">
            <v>4055969</v>
          </cell>
        </row>
        <row r="2030">
          <cell r="M2030">
            <v>723335</v>
          </cell>
        </row>
        <row r="2060">
          <cell r="H2060">
            <v>38917</v>
          </cell>
          <cell r="M2060">
            <v>38917</v>
          </cell>
        </row>
        <row r="2068">
          <cell r="I2068">
            <v>936498</v>
          </cell>
          <cell r="M2068">
            <v>936498</v>
          </cell>
        </row>
        <row r="2087">
          <cell r="H2087">
            <v>2865044</v>
          </cell>
          <cell r="M2087">
            <v>2865044</v>
          </cell>
        </row>
        <row r="2100">
          <cell r="H2100">
            <v>2167038</v>
          </cell>
          <cell r="I2100">
            <v>2038300</v>
          </cell>
          <cell r="M2100">
            <v>4205338</v>
          </cell>
        </row>
        <row r="2125">
          <cell r="I2125">
            <v>3683035</v>
          </cell>
          <cell r="J2125">
            <v>2753939</v>
          </cell>
          <cell r="M2125">
            <v>6436974</v>
          </cell>
        </row>
        <row r="2147">
          <cell r="I2147">
            <v>5480067</v>
          </cell>
          <cell r="M2147">
            <v>5480067</v>
          </cell>
        </row>
        <row r="2226">
          <cell r="I2226">
            <v>2560872</v>
          </cell>
          <cell r="J2226">
            <v>1042338</v>
          </cell>
          <cell r="M2226">
            <v>3603210</v>
          </cell>
        </row>
        <row r="2241">
          <cell r="I2241">
            <v>3650069</v>
          </cell>
          <cell r="M2241">
            <v>3650069</v>
          </cell>
        </row>
        <row r="2265">
          <cell r="H2265">
            <v>282000</v>
          </cell>
          <cell r="I2265">
            <v>2695476</v>
          </cell>
          <cell r="J2265">
            <v>2731252</v>
          </cell>
          <cell r="L2265">
            <v>282000</v>
          </cell>
          <cell r="M2265">
            <v>5426728</v>
          </cell>
        </row>
        <row r="2287">
          <cell r="H2287">
            <v>611569</v>
          </cell>
          <cell r="I2287">
            <v>3026638</v>
          </cell>
          <cell r="L2287">
            <v>611569</v>
          </cell>
          <cell r="M2287">
            <v>3026638</v>
          </cell>
        </row>
        <row r="2349">
          <cell r="H2349">
            <v>1457000</v>
          </cell>
          <cell r="M2349">
            <v>1457000</v>
          </cell>
        </row>
        <row r="2357">
          <cell r="H2357">
            <v>3423038</v>
          </cell>
          <cell r="M2357">
            <v>3423038</v>
          </cell>
        </row>
        <row r="2375">
          <cell r="H2375">
            <v>367917</v>
          </cell>
          <cell r="I2375">
            <v>1358448.8</v>
          </cell>
          <cell r="J2375">
            <v>233710</v>
          </cell>
          <cell r="L2375">
            <v>367917</v>
          </cell>
          <cell r="M2375">
            <v>1592158.8</v>
          </cell>
        </row>
        <row r="2389">
          <cell r="H2389">
            <v>3379733</v>
          </cell>
          <cell r="I2389">
            <v>1894499</v>
          </cell>
          <cell r="L2389">
            <v>2861983</v>
          </cell>
          <cell r="M2389">
            <v>2412249</v>
          </cell>
        </row>
        <row r="2419">
          <cell r="I2419">
            <v>1366472</v>
          </cell>
          <cell r="J2419">
            <v>5034498.5999999996</v>
          </cell>
          <cell r="M2419">
            <v>6400970.5999999996</v>
          </cell>
        </row>
        <row r="2452">
          <cell r="I2452">
            <v>3825507</v>
          </cell>
          <cell r="M2452">
            <v>3825507</v>
          </cell>
        </row>
        <row r="2518">
          <cell r="I2518">
            <v>3626478</v>
          </cell>
          <cell r="M2518">
            <v>3626478</v>
          </cell>
        </row>
        <row r="2534">
          <cell r="I2534">
            <v>2014338</v>
          </cell>
          <cell r="M2534">
            <v>2014338</v>
          </cell>
        </row>
        <row r="2553">
          <cell r="H2553">
            <v>282000</v>
          </cell>
          <cell r="I2553">
            <v>702038</v>
          </cell>
          <cell r="J2553">
            <v>217367</v>
          </cell>
          <cell r="L2553">
            <v>282000</v>
          </cell>
          <cell r="M2553">
            <v>919405</v>
          </cell>
        </row>
        <row r="2564">
          <cell r="I2564">
            <v>4877438</v>
          </cell>
          <cell r="M2564">
            <v>4877438</v>
          </cell>
        </row>
        <row r="2591">
          <cell r="H2591">
            <v>940000</v>
          </cell>
          <cell r="J2591">
            <v>433090</v>
          </cell>
          <cell r="L2591">
            <v>940000</v>
          </cell>
          <cell r="M2591">
            <v>433090</v>
          </cell>
        </row>
        <row r="2600">
          <cell r="I2600">
            <v>1649378</v>
          </cell>
          <cell r="M2600">
            <v>1649378</v>
          </cell>
        </row>
        <row r="2670">
          <cell r="H2670">
            <v>777000</v>
          </cell>
          <cell r="I2670">
            <v>641238</v>
          </cell>
          <cell r="L2670">
            <v>777000</v>
          </cell>
          <cell r="M2670">
            <v>641238</v>
          </cell>
        </row>
        <row r="2680">
          <cell r="H2680">
            <v>56034</v>
          </cell>
          <cell r="I2680">
            <v>1661638</v>
          </cell>
          <cell r="L2680">
            <v>56034</v>
          </cell>
          <cell r="M2680">
            <v>1661638</v>
          </cell>
        </row>
        <row r="2703">
          <cell r="J2703">
            <v>788649.4</v>
          </cell>
          <cell r="M2703">
            <v>788649.4</v>
          </cell>
        </row>
        <row r="2730">
          <cell r="M2730">
            <v>1605538</v>
          </cell>
        </row>
        <row r="2747">
          <cell r="M2747">
            <v>1226438</v>
          </cell>
        </row>
        <row r="2771">
          <cell r="H2771">
            <v>1886143</v>
          </cell>
          <cell r="I2771">
            <v>1530276</v>
          </cell>
          <cell r="M2771">
            <v>3416419</v>
          </cell>
        </row>
        <row r="2782">
          <cell r="H2782">
            <v>2588838</v>
          </cell>
          <cell r="I2782">
            <v>1830600</v>
          </cell>
          <cell r="M2782">
            <v>4419438</v>
          </cell>
        </row>
        <row r="2804">
          <cell r="I2804">
            <v>2971289</v>
          </cell>
          <cell r="J2804">
            <v>5139452</v>
          </cell>
          <cell r="M2804">
            <v>8110741</v>
          </cell>
        </row>
        <row r="2830">
          <cell r="I2830">
            <v>5852776</v>
          </cell>
          <cell r="M2830">
            <v>5852776</v>
          </cell>
        </row>
        <row r="2854">
          <cell r="H2854">
            <v>1034000</v>
          </cell>
          <cell r="I2854">
            <v>351093</v>
          </cell>
          <cell r="L2854">
            <v>1034000</v>
          </cell>
          <cell r="M2854">
            <v>351093</v>
          </cell>
        </row>
        <row r="2863">
          <cell r="H2863">
            <v>2912638</v>
          </cell>
          <cell r="L2863">
            <v>2912638</v>
          </cell>
        </row>
        <row r="2887">
          <cell r="I2887">
            <v>3786576</v>
          </cell>
          <cell r="J2887">
            <v>2081776</v>
          </cell>
          <cell r="M2887">
            <v>5868352</v>
          </cell>
        </row>
        <row r="2907">
          <cell r="I2907">
            <v>5476976</v>
          </cell>
          <cell r="M2907">
            <v>5476976</v>
          </cell>
        </row>
        <row r="2931">
          <cell r="H2931">
            <v>940000</v>
          </cell>
          <cell r="L2931">
            <v>940000</v>
          </cell>
        </row>
        <row r="2939">
          <cell r="I2939">
            <v>1558138</v>
          </cell>
          <cell r="J2939">
            <v>502569</v>
          </cell>
          <cell r="M2939">
            <v>2060707</v>
          </cell>
        </row>
        <row r="2964">
          <cell r="H2964">
            <v>798388</v>
          </cell>
          <cell r="I2964">
            <v>1637600</v>
          </cell>
          <cell r="L2964">
            <v>311188</v>
          </cell>
          <cell r="M2964">
            <v>2124800</v>
          </cell>
        </row>
        <row r="2975">
          <cell r="H2975">
            <v>2311276</v>
          </cell>
          <cell r="I2975">
            <v>1469638</v>
          </cell>
          <cell r="L2975">
            <v>2311276</v>
          </cell>
          <cell r="M2975">
            <v>1469638</v>
          </cell>
        </row>
        <row r="3004">
          <cell r="I3004">
            <v>848390</v>
          </cell>
          <cell r="J3004">
            <v>1857614</v>
          </cell>
          <cell r="M3004">
            <v>2706004</v>
          </cell>
        </row>
        <row r="3023">
          <cell r="I3023">
            <v>2339307</v>
          </cell>
          <cell r="M3023">
            <v>2339307</v>
          </cell>
        </row>
        <row r="3044">
          <cell r="H3044">
            <v>279038</v>
          </cell>
          <cell r="I3044">
            <v>895325</v>
          </cell>
          <cell r="J3044">
            <v>740338</v>
          </cell>
          <cell r="M3044">
            <v>1914701</v>
          </cell>
        </row>
        <row r="3058">
          <cell r="I3058">
            <v>1036669</v>
          </cell>
          <cell r="M3058">
            <v>1036669</v>
          </cell>
        </row>
        <row r="3077">
          <cell r="J3077">
            <v>514400</v>
          </cell>
          <cell r="M3077">
            <v>514400</v>
          </cell>
        </row>
        <row r="3085">
          <cell r="I3085">
            <v>2967769</v>
          </cell>
          <cell r="M3085">
            <v>2967769</v>
          </cell>
        </row>
        <row r="3104">
          <cell r="I3104">
            <v>188000</v>
          </cell>
          <cell r="M3104">
            <v>188000</v>
          </cell>
        </row>
        <row r="3112">
          <cell r="I3112">
            <v>4664669</v>
          </cell>
          <cell r="J3112">
            <v>1036138</v>
          </cell>
          <cell r="M3112">
            <v>5700807</v>
          </cell>
        </row>
        <row r="3136">
          <cell r="L3136">
            <v>470000</v>
          </cell>
        </row>
        <row r="3167">
          <cell r="J3167">
            <v>3845755</v>
          </cell>
          <cell r="M3167">
            <v>3845755</v>
          </cell>
        </row>
        <row r="3194">
          <cell r="J3194">
            <v>1775169</v>
          </cell>
          <cell r="M3194">
            <v>1775169</v>
          </cell>
        </row>
        <row r="3218">
          <cell r="H3218">
            <v>1193852</v>
          </cell>
          <cell r="I3218">
            <v>1335019</v>
          </cell>
          <cell r="L3218">
            <v>1193852</v>
          </cell>
          <cell r="M3218">
            <v>1335019</v>
          </cell>
        </row>
        <row r="3227">
          <cell r="H3227">
            <v>3853000</v>
          </cell>
          <cell r="I3227">
            <v>1531450</v>
          </cell>
          <cell r="L3227">
            <v>2152100</v>
          </cell>
          <cell r="M3227">
            <v>3232350</v>
          </cell>
        </row>
      </sheetData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 (2)"/>
    </sheetNames>
    <sheetDataSet>
      <sheetData sheetId="0">
        <row r="256">
          <cell r="D256">
            <v>38917</v>
          </cell>
          <cell r="F256">
            <v>684418</v>
          </cell>
        </row>
        <row r="257">
          <cell r="E257">
            <v>5935468</v>
          </cell>
          <cell r="I257">
            <v>5935468</v>
          </cell>
        </row>
        <row r="328">
          <cell r="D328">
            <v>1428640</v>
          </cell>
          <cell r="F328">
            <v>1605538</v>
          </cell>
          <cell r="H328">
            <v>1428640</v>
          </cell>
        </row>
        <row r="329">
          <cell r="E329">
            <v>1226438</v>
          </cell>
        </row>
      </sheetData>
      <sheetData sheetId="1" refreshError="1"/>
      <sheetData sheetId="2">
        <row r="3137">
          <cell r="H3137">
            <v>470000</v>
          </cell>
        </row>
        <row r="3146">
          <cell r="H3146">
            <v>916207</v>
          </cell>
          <cell r="I3146">
            <v>810075</v>
          </cell>
          <cell r="L3146">
            <v>916207</v>
          </cell>
          <cell r="M3146">
            <v>810075</v>
          </cell>
        </row>
      </sheetData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"/>
      <sheetName val="Verificare 1"/>
      <sheetName val="Verificare 2"/>
    </sheetNames>
    <sheetDataSet>
      <sheetData sheetId="0">
        <row r="153">
          <cell r="D153">
            <v>9188927</v>
          </cell>
          <cell r="E153">
            <v>69858154</v>
          </cell>
          <cell r="F153">
            <v>15782049.5</v>
          </cell>
        </row>
        <row r="154">
          <cell r="D154">
            <v>34718058</v>
          </cell>
          <cell r="E154">
            <v>32161952</v>
          </cell>
          <cell r="F154">
            <v>89597332</v>
          </cell>
          <cell r="G154">
            <v>2124100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"/>
      <sheetName val="Verificare 1"/>
      <sheetName val="Verificare 2"/>
    </sheetNames>
    <sheetDataSet>
      <sheetData sheetId="0">
        <row r="153">
          <cell r="D153">
            <v>9188927</v>
          </cell>
          <cell r="G15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ie"/>
      <sheetName val="Populatie conectata_apa"/>
      <sheetName val="Rata apa"/>
      <sheetName val="Consum specific_facturat"/>
      <sheetName val="Consum specific"/>
      <sheetName val="Operare_Apa"/>
      <sheetName val="Operare_Apa rev"/>
      <sheetName val="Operare_Apa rev 1"/>
      <sheetName val="Graf apa"/>
      <sheetName val="Volum apa"/>
      <sheetName val="MP_initial_apa"/>
      <sheetName val="Volum apa produs"/>
      <sheetName val="Operare apa uzata"/>
      <sheetName val="Rata canal"/>
      <sheetName val="Populatie racordata AU"/>
      <sheetName val="Volum apa uzata"/>
      <sheetName val="MP_initial_au"/>
      <sheetName val="PE"/>
      <sheetName val="Cost canal_ Cluster"/>
      <sheetName val="Cost canal_ Cluster_v01"/>
      <sheetName val="Zona deservita de CRAB"/>
      <sheetName val="Centralizator apa"/>
    </sheetNames>
    <sheetDataSet>
      <sheetData sheetId="0" refreshError="1"/>
      <sheetData sheetId="1">
        <row r="285">
          <cell r="E285">
            <v>395997.07924372971</v>
          </cell>
          <cell r="F285">
            <v>408692.63472787931</v>
          </cell>
          <cell r="G285">
            <v>429397.05773045</v>
          </cell>
          <cell r="H285">
            <v>517172.12083868106</v>
          </cell>
          <cell r="I285">
            <v>486132.00130868366</v>
          </cell>
          <cell r="J285">
            <v>510362.99866945855</v>
          </cell>
          <cell r="K285">
            <v>518058.2720798566</v>
          </cell>
          <cell r="L285">
            <v>526197.60246598115</v>
          </cell>
          <cell r="M285">
            <v>529900.85086470866</v>
          </cell>
          <cell r="N285">
            <v>531486.01714077126</v>
          </cell>
          <cell r="O285">
            <v>535012.21770903841</v>
          </cell>
          <cell r="P285">
            <v>538914.44887480512</v>
          </cell>
          <cell r="Q285">
            <v>542759.24473069713</v>
          </cell>
          <cell r="R285">
            <v>545445.66936766566</v>
          </cell>
          <cell r="S285">
            <v>548215.37323325314</v>
          </cell>
          <cell r="T285">
            <v>551378.13319720607</v>
          </cell>
          <cell r="U285">
            <v>554474.26174982009</v>
          </cell>
          <cell r="V285">
            <v>557462.84980039659</v>
          </cell>
          <cell r="W285">
            <v>553640.30216695019</v>
          </cell>
          <cell r="X285">
            <v>550013.05290583661</v>
          </cell>
          <cell r="Y285">
            <v>546060.71601503284</v>
          </cell>
          <cell r="Z285">
            <v>542136.66709880379</v>
          </cell>
          <cell r="AA285">
            <v>538240.70461074496</v>
          </cell>
          <cell r="AB285">
            <v>534372.62843294337</v>
          </cell>
          <cell r="AC285">
            <v>530532.23986591375</v>
          </cell>
          <cell r="AD285">
            <v>526719.34161860566</v>
          </cell>
          <cell r="AE285">
            <v>522933.73779848078</v>
          </cell>
          <cell r="AF285">
            <v>519175.23390165833</v>
          </cell>
          <cell r="AG285">
            <v>514654.51744493237</v>
          </cell>
          <cell r="AH285">
            <v>510445.74327446567</v>
          </cell>
          <cell r="AI285">
            <v>505803.77480322518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9">
          <cell r="D109">
            <v>6368730.8967423392</v>
          </cell>
          <cell r="E109">
            <v>6565561.8612025511</v>
          </cell>
          <cell r="F109">
            <v>6557535.4544990752</v>
          </cell>
          <cell r="G109">
            <v>7089470.2614154061</v>
          </cell>
          <cell r="H109">
            <v>6916603.6676851874</v>
          </cell>
          <cell r="I109">
            <v>7057411.5662830099</v>
          </cell>
          <cell r="J109">
            <v>7114495.6051621018</v>
          </cell>
          <cell r="K109">
            <v>7173714.5477757882</v>
          </cell>
          <cell r="L109">
            <v>7222392.0070672603</v>
          </cell>
          <cell r="M109">
            <v>7241359.7942111883</v>
          </cell>
          <cell r="N109">
            <v>7270049.7534164377</v>
          </cell>
          <cell r="O109">
            <v>7300834.4641797356</v>
          </cell>
          <cell r="P109">
            <v>7319014.4526553191</v>
          </cell>
          <cell r="Q109">
            <v>7367270.6061658086</v>
          </cell>
          <cell r="R109">
            <v>7411944.73982812</v>
          </cell>
          <cell r="S109">
            <v>7457733.0207725307</v>
          </cell>
          <cell r="T109">
            <v>7502699.1223150035</v>
          </cell>
          <cell r="U109">
            <v>7531137.2703063907</v>
          </cell>
          <cell r="V109">
            <v>7571924.8181905532</v>
          </cell>
          <cell r="W109">
            <v>7599978.1487145992</v>
          </cell>
          <cell r="X109">
            <v>7627697.5039310111</v>
          </cell>
          <cell r="Y109">
            <v>7655088.3710526684</v>
          </cell>
          <cell r="Z109">
            <v>7682156.2034910508</v>
          </cell>
          <cell r="AA109">
            <v>7708906.4213420618</v>
          </cell>
          <cell r="AB109">
            <v>7735344.4118700614</v>
          </cell>
          <cell r="AC109">
            <v>7761475.5299902027</v>
          </cell>
          <cell r="AD109">
            <v>7787305.0987490574</v>
          </cell>
          <cell r="AE109">
            <v>7812838.4098036159</v>
          </cell>
          <cell r="AF109">
            <v>7838080.7238986641</v>
          </cell>
          <cell r="AG109">
            <v>7850998.9360006442</v>
          </cell>
          <cell r="AH109">
            <v>7895324.6471562246</v>
          </cell>
        </row>
        <row r="110">
          <cell r="D110">
            <v>396051.29351324792</v>
          </cell>
          <cell r="E110">
            <v>466211.39388478082</v>
          </cell>
          <cell r="F110">
            <v>578819.28258566046</v>
          </cell>
          <cell r="G110">
            <v>757909.77132608416</v>
          </cell>
          <cell r="H110">
            <v>959586.84955735237</v>
          </cell>
          <cell r="I110">
            <v>1158707.5995944338</v>
          </cell>
          <cell r="J110">
            <v>1205495.6214570748</v>
          </cell>
          <cell r="K110">
            <v>1254881.8440458442</v>
          </cell>
          <cell r="L110">
            <v>1290727.048715035</v>
          </cell>
          <cell r="M110">
            <v>1315698.8182498303</v>
          </cell>
          <cell r="N110">
            <v>1348910.4046575604</v>
          </cell>
          <cell r="O110">
            <v>1383683.7623858475</v>
          </cell>
          <cell r="P110">
            <v>1420423.5443695912</v>
          </cell>
          <cell r="Q110">
            <v>1448416.9527156311</v>
          </cell>
          <cell r="R110">
            <v>1478194.6607367513</v>
          </cell>
          <cell r="S110">
            <v>1510013.2791921729</v>
          </cell>
          <cell r="T110">
            <v>1541816.1776664569</v>
          </cell>
          <cell r="U110">
            <v>1576083.8074405889</v>
          </cell>
          <cell r="V110">
            <v>1577290.5703260512</v>
          </cell>
          <cell r="W110">
            <v>1577148.2602160817</v>
          </cell>
          <cell r="X110">
            <v>1574871.8719518008</v>
          </cell>
          <cell r="Y110">
            <v>1572605.5652631258</v>
          </cell>
          <cell r="Z110">
            <v>1570508.3433058998</v>
          </cell>
          <cell r="AA110">
            <v>1568103.2093788758</v>
          </cell>
          <cell r="AB110">
            <v>1565867.1669240377</v>
          </cell>
          <cell r="AC110">
            <v>1563641.2195267645</v>
          </cell>
          <cell r="AD110">
            <v>1561425.3709162271</v>
          </cell>
          <cell r="AE110">
            <v>1559219.6249657157</v>
          </cell>
          <cell r="AF110">
            <v>1557023.9856928503</v>
          </cell>
          <cell r="AG110">
            <v>1554245.0016769201</v>
          </cell>
          <cell r="AH110">
            <v>1548502.9970284831</v>
          </cell>
        </row>
        <row r="112">
          <cell r="D112">
            <v>6764782.190255587</v>
          </cell>
          <cell r="E112">
            <v>7031773.2550873319</v>
          </cell>
          <cell r="F112">
            <v>7136354.7370847352</v>
          </cell>
          <cell r="G112">
            <v>7847380.0327414908</v>
          </cell>
          <cell r="H112">
            <v>7876190.5172425397</v>
          </cell>
          <cell r="I112">
            <v>8216119.1658774437</v>
          </cell>
          <cell r="J112">
            <v>8319991.2266191766</v>
          </cell>
          <cell r="K112">
            <v>8428596.3918216322</v>
          </cell>
          <cell r="L112">
            <v>8513119.0557822958</v>
          </cell>
          <cell r="M112">
            <v>8557058.6124610193</v>
          </cell>
          <cell r="N112">
            <v>8618960.158073999</v>
          </cell>
          <cell r="O112">
            <v>8684518.2265655827</v>
          </cell>
          <cell r="P112">
            <v>8739437.9970249105</v>
          </cell>
          <cell r="Q112">
            <v>8815687.5588814393</v>
          </cell>
          <cell r="R112">
            <v>8890139.4005648717</v>
          </cell>
          <cell r="S112">
            <v>8967746.2999647036</v>
          </cell>
          <cell r="T112">
            <v>9044515.29998146</v>
          </cell>
          <cell r="U112">
            <v>9107221.0777469799</v>
          </cell>
          <cell r="V112">
            <v>9149215.3885166049</v>
          </cell>
          <cell r="W112">
            <v>9177126.4089306816</v>
          </cell>
          <cell r="X112">
            <v>9202569.3758828118</v>
          </cell>
          <cell r="Y112">
            <v>9227693.9363157935</v>
          </cell>
          <cell r="Z112">
            <v>9252664.5467969514</v>
          </cell>
          <cell r="AA112">
            <v>9277009.6307209376</v>
          </cell>
          <cell r="AB112">
            <v>9301211.5787940994</v>
          </cell>
          <cell r="AC112">
            <v>9325116.7495169677</v>
          </cell>
          <cell r="AD112">
            <v>9348730.4696652852</v>
          </cell>
          <cell r="AE112">
            <v>9372058.034769332</v>
          </cell>
          <cell r="AF112">
            <v>9395104.7095915154</v>
          </cell>
          <cell r="AG112">
            <v>9405243.9376775641</v>
          </cell>
          <cell r="AH112">
            <v>9443827.6441847086</v>
          </cell>
        </row>
      </sheetData>
      <sheetData sheetId="8" refreshError="1"/>
      <sheetData sheetId="9">
        <row r="108">
          <cell r="D108">
            <v>17348762.966002394</v>
          </cell>
          <cell r="E108">
            <v>17813954.956108801</v>
          </cell>
          <cell r="F108">
            <v>18487622.254043177</v>
          </cell>
          <cell r="G108">
            <v>21352936.227455847</v>
          </cell>
          <cell r="H108">
            <v>20290343.87094982</v>
          </cell>
          <cell r="I108">
            <v>21078596.736664534</v>
          </cell>
          <cell r="J108">
            <v>21308973.450639904</v>
          </cell>
          <cell r="K108">
            <v>21556535.487252302</v>
          </cell>
          <cell r="L108">
            <v>21718505.086901389</v>
          </cell>
          <cell r="M108">
            <v>21769241.693638995</v>
          </cell>
          <cell r="N108">
            <v>21878051.378502812</v>
          </cell>
          <cell r="O108">
            <v>21998631.462234229</v>
          </cell>
          <cell r="P108">
            <v>22124215.501810752</v>
          </cell>
          <cell r="Q108">
            <v>22242534.837655067</v>
          </cell>
          <cell r="R108">
            <v>22363999.897429194</v>
          </cell>
          <cell r="S108">
            <v>22498404.790682107</v>
          </cell>
          <cell r="T108">
            <v>22632176.277455695</v>
          </cell>
          <cell r="U108">
            <v>22784212.172691796</v>
          </cell>
          <cell r="V108">
            <v>22761376.138026427</v>
          </cell>
          <cell r="W108">
            <v>22706669.477385808</v>
          </cell>
          <cell r="X108">
            <v>22641831.646687672</v>
          </cell>
          <cell r="Y108">
            <v>22577522.054315172</v>
          </cell>
          <cell r="Z108">
            <v>22513739.120317549</v>
          </cell>
          <cell r="AA108">
            <v>22450481.292640865</v>
          </cell>
          <cell r="AB108">
            <v>22387747.04714052</v>
          </cell>
          <cell r="AC108">
            <v>22325534.887596175</v>
          </cell>
          <cell r="AD108">
            <v>22263843.345728211</v>
          </cell>
          <cell r="AE108">
            <v>22202670.981217161</v>
          </cell>
          <cell r="AF108">
            <v>22142016.381725118</v>
          </cell>
          <cell r="AG108">
            <v>22057001.58805209</v>
          </cell>
          <cell r="AH108">
            <v>21963854.778471734</v>
          </cell>
        </row>
      </sheetData>
      <sheetData sheetId="10" refreshError="1"/>
      <sheetData sheetId="11">
        <row r="98">
          <cell r="D98">
            <v>24435673.393989053</v>
          </cell>
          <cell r="E98">
            <v>22473857.088306624</v>
          </cell>
          <cell r="F98">
            <v>20532133.822165873</v>
          </cell>
          <cell r="G98">
            <v>18678203.456541747</v>
          </cell>
          <cell r="H98">
            <v>17019955.479730248</v>
          </cell>
          <cell r="I98">
            <v>16430530.527950622</v>
          </cell>
          <cell r="J98">
            <v>15258854.875011252</v>
          </cell>
          <cell r="K98">
            <v>14263764.505132314</v>
          </cell>
          <cell r="L98">
            <v>14295095.346313789</v>
          </cell>
          <cell r="M98">
            <v>14279547.199816376</v>
          </cell>
          <cell r="N98">
            <v>14269612.361629548</v>
          </cell>
          <cell r="O98">
            <v>14256448.90808516</v>
          </cell>
          <cell r="P98">
            <v>14241792.990758764</v>
          </cell>
          <cell r="Q98">
            <v>14221840.25772967</v>
          </cell>
          <cell r="R98">
            <v>14201930.493663333</v>
          </cell>
          <cell r="S98">
            <v>14182063.545227405</v>
          </cell>
          <cell r="T98">
            <v>14162239.259796914</v>
          </cell>
          <cell r="U98">
            <v>14142457.485450737</v>
          </cell>
          <cell r="V98">
            <v>14123710.872491116</v>
          </cell>
          <cell r="W98">
            <v>14125316.513355769</v>
          </cell>
          <cell r="X98">
            <v>14127030.287240986</v>
          </cell>
          <cell r="Y98">
            <v>14128852.009774486</v>
          </cell>
          <cell r="Z98">
            <v>14143987.503635067</v>
          </cell>
          <cell r="AA98">
            <v>14159223.387991155</v>
          </cell>
          <cell r="AB98">
            <v>14174559.567264145</v>
          </cell>
          <cell r="AC98">
            <v>14189995.947295029</v>
          </cell>
          <cell r="AD98">
            <v>14205532.435338696</v>
          </cell>
          <cell r="AE98">
            <v>14221168.940058267</v>
          </cell>
          <cell r="AF98">
            <v>14236905.371519418</v>
          </cell>
          <cell r="AG98">
            <v>14230920.426969765</v>
          </cell>
          <cell r="AH98">
            <v>14225019.882460052</v>
          </cell>
        </row>
        <row r="99">
          <cell r="D99">
            <v>4349468.128179457</v>
          </cell>
          <cell r="E99">
            <v>4572883.2790352553</v>
          </cell>
          <cell r="F99">
            <v>5087783.0004123412</v>
          </cell>
          <cell r="G99">
            <v>7840724.6744075082</v>
          </cell>
          <cell r="H99">
            <v>6647552.8845893033</v>
          </cell>
          <cell r="I99">
            <v>7300552.9729820117</v>
          </cell>
          <cell r="J99">
            <v>7569123.8850270677</v>
          </cell>
          <cell r="K99">
            <v>7848358.2299662642</v>
          </cell>
          <cell r="L99">
            <v>8037733.2321693264</v>
          </cell>
          <cell r="M99">
            <v>8159077.4533654228</v>
          </cell>
          <cell r="N99">
            <v>8332448.1349924225</v>
          </cell>
          <cell r="O99">
            <v>8517530.7571209744</v>
          </cell>
          <cell r="P99">
            <v>8707932.399009319</v>
          </cell>
          <cell r="Q99">
            <v>8868877.419184437</v>
          </cell>
          <cell r="R99">
            <v>9032569.3224334903</v>
          </cell>
          <cell r="S99">
            <v>9208893.0255800709</v>
          </cell>
          <cell r="T99">
            <v>9384245.1471655592</v>
          </cell>
          <cell r="U99">
            <v>9571874.1022354029</v>
          </cell>
          <cell r="V99">
            <v>9584144.6883726064</v>
          </cell>
          <cell r="W99">
            <v>9585831.7567464858</v>
          </cell>
          <cell r="X99">
            <v>9576931.4524362385</v>
          </cell>
          <cell r="Y99">
            <v>9568104.8838979807</v>
          </cell>
          <cell r="Z99">
            <v>9559352.1453600824</v>
          </cell>
          <cell r="AA99">
            <v>9550673.33304918</v>
          </cell>
          <cell r="AB99">
            <v>9542068.5451956633</v>
          </cell>
          <cell r="AC99">
            <v>9533537.8820392303</v>
          </cell>
          <cell r="AD99">
            <v>9525081.4458345342</v>
          </cell>
          <cell r="AE99">
            <v>9516699.3408568669</v>
          </cell>
          <cell r="AF99">
            <v>9508391.6734081376</v>
          </cell>
          <cell r="AG99">
            <v>9494544.8164837193</v>
          </cell>
          <cell r="AH99">
            <v>9465151.0084313545</v>
          </cell>
        </row>
      </sheetData>
      <sheetData sheetId="12" refreshError="1"/>
      <sheetData sheetId="13" refreshError="1"/>
      <sheetData sheetId="14">
        <row r="285">
          <cell r="E285">
            <v>245720.63594706717</v>
          </cell>
          <cell r="F285">
            <v>262172.67076293286</v>
          </cell>
          <cell r="G285">
            <v>295291.23063439713</v>
          </cell>
          <cell r="H285">
            <v>334740.11418897059</v>
          </cell>
          <cell r="I285">
            <v>364547.87927879923</v>
          </cell>
          <cell r="J285">
            <v>397370.47744367027</v>
          </cell>
          <cell r="K285">
            <v>417788.48783558235</v>
          </cell>
          <cell r="L285">
            <v>438848.36961821152</v>
          </cell>
          <cell r="M285">
            <v>451876.46286125953</v>
          </cell>
          <cell r="N285">
            <v>468547.01086839789</v>
          </cell>
          <cell r="O285">
            <v>486445.10037129372</v>
          </cell>
          <cell r="P285">
            <v>501448.70789803553</v>
          </cell>
          <cell r="Q285">
            <v>514860.01648845</v>
          </cell>
          <cell r="R285">
            <v>522568.14410057245</v>
          </cell>
          <cell r="S285">
            <v>527170.09739535209</v>
          </cell>
          <cell r="T285">
            <v>531245.73794386478</v>
          </cell>
          <cell r="U285">
            <v>533492.10854193289</v>
          </cell>
          <cell r="V285">
            <v>534656.87026181305</v>
          </cell>
          <cell r="W285">
            <v>533147.36375047383</v>
          </cell>
          <cell r="X285">
            <v>531422.76166842761</v>
          </cell>
          <cell r="Y285">
            <v>529689.46274013806</v>
          </cell>
          <cell r="Z285">
            <v>527721.65532971767</v>
          </cell>
          <cell r="AA285">
            <v>525802.41899619158</v>
          </cell>
          <cell r="AB285">
            <v>524122.65859099221</v>
          </cell>
          <cell r="AC285">
            <v>521945.29972700425</v>
          </cell>
          <cell r="AD285">
            <v>603918.56461820891</v>
          </cell>
          <cell r="AE285">
            <v>517988.70166876883</v>
          </cell>
          <cell r="AF285">
            <v>515469.59473860805</v>
          </cell>
          <cell r="AG285">
            <v>512457.35314432776</v>
          </cell>
          <cell r="AH285">
            <v>508962.79013134819</v>
          </cell>
          <cell r="AI285">
            <v>505803.77480322518</v>
          </cell>
        </row>
      </sheetData>
      <sheetData sheetId="15">
        <row r="98">
          <cell r="D98">
            <v>11672358.072762275</v>
          </cell>
          <cell r="E98">
            <v>12107221.564031187</v>
          </cell>
          <cell r="F98">
            <v>12696737.309462607</v>
          </cell>
          <cell r="G98">
            <v>13042810.75075802</v>
          </cell>
          <cell r="H98">
            <v>13303125.896942712</v>
          </cell>
          <cell r="I98">
            <v>13611254.716122007</v>
          </cell>
          <cell r="J98">
            <v>13641514.181189168</v>
          </cell>
          <cell r="K98">
            <v>13673667.678008158</v>
          </cell>
          <cell r="L98">
            <v>13649169.70726021</v>
          </cell>
          <cell r="M98">
            <v>13579217.194867386</v>
          </cell>
          <cell r="N98">
            <v>13515709.035555352</v>
          </cell>
          <cell r="O98">
            <v>13450924.685211934</v>
          </cell>
          <cell r="P98">
            <v>13388239.265215268</v>
          </cell>
          <cell r="Q98">
            <v>13348255.164980799</v>
          </cell>
          <cell r="R98">
            <v>13307854.176176503</v>
          </cell>
          <cell r="S98">
            <v>13269518.265167929</v>
          </cell>
          <cell r="T98">
            <v>13230343.507537398</v>
          </cell>
          <cell r="U98">
            <v>13197229.848047107</v>
          </cell>
          <cell r="V98">
            <v>13162744.018437637</v>
          </cell>
          <cell r="W98">
            <v>13107898.480167393</v>
          </cell>
          <cell r="X98">
            <v>13053996.83081397</v>
          </cell>
          <cell r="Y98">
            <v>13000148.828794491</v>
          </cell>
          <cell r="Z98">
            <v>12946337.287381269</v>
          </cell>
          <cell r="AA98">
            <v>12893472.319638027</v>
          </cell>
          <cell r="AB98">
            <v>12840630.854237145</v>
          </cell>
          <cell r="AC98">
            <v>12788745.307141453</v>
          </cell>
          <cell r="AD98">
            <v>12737831.996703431</v>
          </cell>
          <cell r="AE98">
            <v>12685960.743553771</v>
          </cell>
          <cell r="AF98">
            <v>12634555.881156104</v>
          </cell>
          <cell r="AG98">
            <v>12564350.596205618</v>
          </cell>
          <cell r="AH98">
            <v>12501581.138508994</v>
          </cell>
        </row>
        <row r="99">
          <cell r="D99">
            <v>927673.48167933337</v>
          </cell>
          <cell r="E99">
            <v>1098623.137779044</v>
          </cell>
          <cell r="F99">
            <v>1638592.9913113844</v>
          </cell>
          <cell r="G99">
            <v>2582650.1026343238</v>
          </cell>
          <cell r="H99">
            <v>3313390.7329908404</v>
          </cell>
          <cell r="I99">
            <v>4120805.6437481586</v>
          </cell>
          <cell r="J99">
            <v>4698407.5528359115</v>
          </cell>
          <cell r="K99">
            <v>5298768.6950067505</v>
          </cell>
          <cell r="L99">
            <v>5746630.5482793227</v>
          </cell>
          <cell r="M99">
            <v>6306933.8602704611</v>
          </cell>
          <cell r="N99">
            <v>6899925.245063737</v>
          </cell>
          <cell r="O99">
            <v>7416665.7449985705</v>
          </cell>
          <cell r="P99">
            <v>7889102.5059242044</v>
          </cell>
          <cell r="Q99">
            <v>8197753.1216120571</v>
          </cell>
          <cell r="R99">
            <v>8415410.8870426752</v>
          </cell>
          <cell r="S99">
            <v>8615832.7837720141</v>
          </cell>
          <cell r="T99">
            <v>8762936.689440012</v>
          </cell>
          <cell r="U99">
            <v>8893314.9631279632</v>
          </cell>
          <cell r="V99">
            <v>8970752.9795679543</v>
          </cell>
          <cell r="W99">
            <v>9026084.0425008126</v>
          </cell>
          <cell r="X99">
            <v>9080577.7693178244</v>
          </cell>
          <cell r="Y99">
            <v>9128303.3246492296</v>
          </cell>
          <cell r="Z99">
            <v>9177725.9554585554</v>
          </cell>
          <cell r="AA99">
            <v>9234116.7906107623</v>
          </cell>
          <cell r="AB99">
            <v>9275055.2068060394</v>
          </cell>
          <cell r="AC99">
            <v>11987971.764252022</v>
          </cell>
          <cell r="AD99">
            <v>9367806.6702005938</v>
          </cell>
          <cell r="AE99">
            <v>9397459.4911272135</v>
          </cell>
          <cell r="AF99">
            <v>9436185.7989169601</v>
          </cell>
          <cell r="AG99">
            <v>9444106.3573280945</v>
          </cell>
          <cell r="AH99">
            <v>9462273.6399627253</v>
          </cell>
        </row>
      </sheetData>
      <sheetData sheetId="16" refreshError="1"/>
      <sheetData sheetId="17" refreshError="1"/>
      <sheetData sheetId="18" refreshError="1"/>
      <sheetData sheetId="19">
        <row r="106">
          <cell r="E106">
            <v>305570.59151020873</v>
          </cell>
          <cell r="F106">
            <v>360636.95596734987</v>
          </cell>
          <cell r="G106">
            <v>555164.65142372251</v>
          </cell>
          <cell r="H106">
            <v>856018.86094527796</v>
          </cell>
          <cell r="I106">
            <v>1153196.1820543502</v>
          </cell>
          <cell r="J106">
            <v>1431381.5821666284</v>
          </cell>
          <cell r="K106">
            <v>1658291.0610812218</v>
          </cell>
          <cell r="L106">
            <v>1896300.1686605162</v>
          </cell>
          <cell r="M106">
            <v>2102683.4541720273</v>
          </cell>
          <cell r="N106">
            <v>2355500.0617705639</v>
          </cell>
          <cell r="O106">
            <v>2626009.0623712987</v>
          </cell>
          <cell r="P106">
            <v>2873890.6911099358</v>
          </cell>
          <cell r="Q106">
            <v>3101350.0503335968</v>
          </cell>
          <cell r="R106">
            <v>3226630.1725103441</v>
          </cell>
          <cell r="S106">
            <v>3311013.2191111995</v>
          </cell>
          <cell r="T106">
            <v>3392072.5612536715</v>
          </cell>
          <cell r="U106">
            <v>3448807.0544095254</v>
          </cell>
          <cell r="V106">
            <v>3498811.4462553826</v>
          </cell>
          <cell r="W106">
            <v>3531129.1479035453</v>
          </cell>
          <cell r="X106">
            <v>3556853.8918778333</v>
          </cell>
          <cell r="Y106">
            <v>3581975.8444406632</v>
          </cell>
          <cell r="Z106">
            <v>3605642.1476915921</v>
          </cell>
          <cell r="AA106">
            <v>3629626.1000532988</v>
          </cell>
          <cell r="AB106">
            <v>3655861.0842896677</v>
          </cell>
          <cell r="AC106">
            <v>3676316.422018616</v>
          </cell>
          <cell r="AD106">
            <v>4761472.059624332</v>
          </cell>
          <cell r="AE106">
            <v>3721418.2268403382</v>
          </cell>
          <cell r="AF106">
            <v>3737279.6396458931</v>
          </cell>
          <cell r="AG106">
            <v>3756515.2993014483</v>
          </cell>
          <cell r="AH106">
            <v>3765111.1793114096</v>
          </cell>
          <cell r="AI106">
            <v>3777128.0455553695</v>
          </cell>
        </row>
        <row r="107">
          <cell r="E107">
            <v>3393398.5618341798</v>
          </cell>
          <cell r="F107">
            <v>4352731.4959758688</v>
          </cell>
          <cell r="G107">
            <v>4559608.4295986407</v>
          </cell>
          <cell r="H107">
            <v>4817639.7663877448</v>
          </cell>
          <cell r="I107">
            <v>4963698.2498349836</v>
          </cell>
          <cell r="J107">
            <v>5175862.1094198786</v>
          </cell>
          <cell r="K107">
            <v>5261113.2864165939</v>
          </cell>
          <cell r="L107">
            <v>5343424.8167005358</v>
          </cell>
          <cell r="M107">
            <v>5379531.8741837824</v>
          </cell>
          <cell r="N107">
            <v>5410654.0197172314</v>
          </cell>
          <cell r="O107">
            <v>5442201.4629756389</v>
          </cell>
          <cell r="P107">
            <v>5465199.450633225</v>
          </cell>
          <cell r="Q107">
            <v>5492175.2818681132</v>
          </cell>
          <cell r="R107">
            <v>5500769.6530536171</v>
          </cell>
          <cell r="S107">
            <v>5516978.2237995015</v>
          </cell>
          <cell r="T107">
            <v>5545226.8693987941</v>
          </cell>
          <cell r="U107">
            <v>5569107.5618095817</v>
          </cell>
          <cell r="V107">
            <v>5597124.0680654775</v>
          </cell>
          <cell r="W107">
            <v>5601471.7417176366</v>
          </cell>
          <cell r="X107">
            <v>5618074.6953956764</v>
          </cell>
          <cell r="Y107">
            <v>5779764.7298776601</v>
          </cell>
          <cell r="Z107">
            <v>5838077.8898568731</v>
          </cell>
          <cell r="AA107">
            <v>5877567.9079520032</v>
          </cell>
          <cell r="AB107">
            <v>6031600.6457541604</v>
          </cell>
          <cell r="AC107">
            <v>6228701.4067145362</v>
          </cell>
          <cell r="AD107">
            <v>6208886.6943470454</v>
          </cell>
          <cell r="AE107">
            <v>6407986.8649564032</v>
          </cell>
          <cell r="AF107">
            <v>6534042.4033854604</v>
          </cell>
          <cell r="AG107">
            <v>6660923.5340090701</v>
          </cell>
          <cell r="AH107">
            <v>6862370.2454662472</v>
          </cell>
          <cell r="AI107">
            <v>6981908.1501002628</v>
          </cell>
        </row>
        <row r="109">
          <cell r="E109">
            <v>3698969.1533443886</v>
          </cell>
          <cell r="F109">
            <v>4713368.4519432187</v>
          </cell>
          <cell r="G109">
            <v>5114773.0810223632</v>
          </cell>
          <cell r="H109">
            <v>5673658.6273330227</v>
          </cell>
          <cell r="I109">
            <v>6116894.4318893338</v>
          </cell>
          <cell r="J109">
            <v>6607243.6915865075</v>
          </cell>
          <cell r="K109">
            <v>6919404.3474978162</v>
          </cell>
          <cell r="L109">
            <v>7239724.9853610517</v>
          </cell>
          <cell r="M109">
            <v>7482215.3283558097</v>
          </cell>
          <cell r="N109">
            <v>7766154.0814877953</v>
          </cell>
          <cell r="O109">
            <v>8068210.5253469376</v>
          </cell>
          <cell r="P109">
            <v>8339090.1417431608</v>
          </cell>
          <cell r="Q109">
            <v>8593525.33220171</v>
          </cell>
          <cell r="R109">
            <v>8727399.8255639616</v>
          </cell>
          <cell r="S109">
            <v>8827991.442910701</v>
          </cell>
          <cell r="T109">
            <v>8937299.4306524657</v>
          </cell>
          <cell r="U109">
            <v>9017914.6162191071</v>
          </cell>
          <cell r="V109">
            <v>9095935.5143208597</v>
          </cell>
          <cell r="W109">
            <v>9132600.8896211814</v>
          </cell>
          <cell r="X109">
            <v>9174928.5872735102</v>
          </cell>
          <cell r="Y109">
            <v>9361740.5743183233</v>
          </cell>
          <cell r="Z109">
            <v>9443720.0375484657</v>
          </cell>
          <cell r="AA109">
            <v>9507194.0080053024</v>
          </cell>
          <cell r="AB109">
            <v>9687461.7300438285</v>
          </cell>
          <cell r="AC109">
            <v>9905017.8287331518</v>
          </cell>
          <cell r="AD109">
            <v>10970358.753971377</v>
          </cell>
          <cell r="AE109">
            <v>10129405.091796741</v>
          </cell>
          <cell r="AF109">
            <v>10271322.043031354</v>
          </cell>
          <cell r="AG109">
            <v>10417438.833310518</v>
          </cell>
          <cell r="AH109">
            <v>10627481.424777657</v>
          </cell>
          <cell r="AI109">
            <v>10759036.195655633</v>
          </cell>
        </row>
      </sheetData>
      <sheetData sheetId="20" refreshError="1"/>
      <sheetData sheetId="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c"/>
    </sheetNames>
    <sheetDataSet>
      <sheetData sheetId="0">
        <row r="686">
          <cell r="K686">
            <v>151252.69037743425</v>
          </cell>
          <cell r="T686">
            <v>117005.51849061208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Unit Costs"/>
      <sheetName val="O&amp;M Admin. costs"/>
      <sheetName val="Sorting"/>
      <sheetName val="MBA simple"/>
      <sheetName val="composting"/>
      <sheetName val="Transfer Station"/>
      <sheetName val="Landfill 0.8t"/>
      <sheetName val="Hazwaste"/>
      <sheetName val="Collection"/>
      <sheetName val="Closure non-c lf and dumping si"/>
      <sheetName val="Populatie&amp;generare"/>
      <sheetName val="cu proiect"/>
      <sheetName val="fara proiect"/>
      <sheetName val=" O&amp;M cost without capex"/>
      <sheetName val="O&amp;M Sinteza"/>
      <sheetName val=" Revenues"/>
      <sheetName val="Alternative 3 Dolj"/>
      <sheetName val="Vehicles"/>
      <sheetName val="Mass Z1 Craiova"/>
      <sheetName val="mass Z2 Bailesti"/>
      <sheetName val="mass Z3 Calafat"/>
      <sheetName val="Mass Z4 Filiasi"/>
      <sheetName val="mass Z5 Dobresti"/>
      <sheetName val="mass Z6 Goicea"/>
      <sheetName val="Annex V"/>
      <sheetName val="Tables for  FS"/>
      <sheetName val="comparison Invest"/>
      <sheetName val="PHARE DOLJ deseuri"/>
      <sheetName val="reinvestments"/>
      <sheetName val="Priority Investment Plan"/>
      <sheetName val="suprafete"/>
      <sheetName val="Interface CBA"/>
      <sheetName val="Tarife"/>
      <sheetName val="massbalance"/>
      <sheetName val="Opis&amp;ipote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10">
          <cell r="D10">
            <v>0.40877145560210837</v>
          </cell>
        </row>
        <row r="126">
          <cell r="F126">
            <v>8.5683899392293146</v>
          </cell>
          <cell r="J126">
            <v>9.0792818344383583</v>
          </cell>
          <cell r="N126">
            <v>9.5786650081353475</v>
          </cell>
        </row>
        <row r="127">
          <cell r="F127">
            <v>3.756341542789484</v>
          </cell>
          <cell r="J127">
            <v>3.9556204377959259</v>
          </cell>
          <cell r="N127">
            <v>4.1502092644811786</v>
          </cell>
        </row>
        <row r="128">
          <cell r="F128">
            <v>9.0162994200587399</v>
          </cell>
          <cell r="J128">
            <v>9.3104746252873696</v>
          </cell>
          <cell r="N128">
            <v>9.5968245337507412</v>
          </cell>
        </row>
        <row r="129">
          <cell r="F129">
            <v>2.2579578217897507</v>
          </cell>
          <cell r="J129">
            <v>2.4577797763636786</v>
          </cell>
          <cell r="N129">
            <v>2.65329082497635</v>
          </cell>
        </row>
        <row r="130">
          <cell r="F130">
            <v>4.2123151642651111</v>
          </cell>
          <cell r="J130">
            <v>4.3778842493568098</v>
          </cell>
          <cell r="N130">
            <v>4.5392730866550064</v>
          </cell>
        </row>
        <row r="131">
          <cell r="F131">
            <v>63.888059166222796</v>
          </cell>
          <cell r="J131">
            <v>62.680065890774799</v>
          </cell>
          <cell r="N131">
            <v>61.506835487204206</v>
          </cell>
        </row>
        <row r="132">
          <cell r="F132">
            <v>8.2997479436653023</v>
          </cell>
          <cell r="J132">
            <v>8.1363721936071158</v>
          </cell>
          <cell r="N132">
            <v>7.9762124009356175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I4">
            <v>4.3771000000000004</v>
          </cell>
        </row>
      </sheetData>
      <sheetData sheetId="33">
        <row r="44">
          <cell r="F44">
            <v>1.7999999999999999E-2</v>
          </cell>
        </row>
      </sheetData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 Apa"/>
      <sheetName val="Prognoza BA"/>
      <sheetName val="IP"/>
      <sheetName val="PIB + FE"/>
      <sheetName val="Foaie1"/>
    </sheetNames>
    <sheetDataSet>
      <sheetData sheetId="0">
        <row r="102">
          <cell r="D102">
            <v>62.611914923069428</v>
          </cell>
        </row>
        <row r="115">
          <cell r="E115">
            <v>9415424.5498582441</v>
          </cell>
          <cell r="F115">
            <v>9780464.1610043906</v>
          </cell>
          <cell r="G115">
            <v>10150000.932535574</v>
          </cell>
          <cell r="H115">
            <v>10515710.356381847</v>
          </cell>
          <cell r="I115">
            <v>10876752.27756181</v>
          </cell>
          <cell r="J115">
            <v>12703992.700848322</v>
          </cell>
          <cell r="K115">
            <v>12675062.070523888</v>
          </cell>
          <cell r="L115">
            <v>12646056.936154144</v>
          </cell>
          <cell r="M115">
            <v>12616979.299579475</v>
          </cell>
          <cell r="N115">
            <v>12587831.142265169</v>
          </cell>
          <cell r="O115">
            <v>12558614.425452448</v>
          </cell>
          <cell r="P115">
            <v>12529331.090308804</v>
          </cell>
          <cell r="Q115">
            <v>12508573.7305458</v>
          </cell>
          <cell r="R115">
            <v>12456836.805714611</v>
          </cell>
          <cell r="S115">
            <v>12405397.578758985</v>
          </cell>
          <cell r="T115">
            <v>12354253.785537558</v>
          </cell>
          <cell r="U115">
            <v>12303403.183523823</v>
          </cell>
          <cell r="V115">
            <v>12252843.551578701</v>
          </cell>
          <cell r="W115">
            <v>12202572.689725639</v>
          </cell>
          <cell r="X115">
            <v>12152588.418928016</v>
          </cell>
          <cell r="Y115">
            <v>12102888.580868978</v>
          </cell>
          <cell r="Z115">
            <v>12053471.037733642</v>
          </cell>
          <cell r="AA115">
            <v>12023182.351283405</v>
          </cell>
          <cell r="AB115">
            <v>11993107.243596498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 Apa"/>
      <sheetName val="Prognoza BA"/>
      <sheetName val="IP"/>
      <sheetName val="PIB + FE"/>
      <sheetName val="Foaie1"/>
    </sheetNames>
    <sheetDataSet>
      <sheetData sheetId="0">
        <row r="113">
          <cell r="D113">
            <v>5599837</v>
          </cell>
          <cell r="E113">
            <v>5788329.9882145291</v>
          </cell>
          <cell r="F113">
            <v>5960169.968170207</v>
          </cell>
          <cell r="G113">
            <v>6136446.0481352191</v>
          </cell>
          <cell r="H113">
            <v>6310942.0782128088</v>
          </cell>
          <cell r="I113">
            <v>6482825.2146480177</v>
          </cell>
          <cell r="J113">
            <v>10503777.804579636</v>
          </cell>
          <cell r="K113">
            <v>10486800.233487708</v>
          </cell>
          <cell r="L113">
            <v>10469671.187235795</v>
          </cell>
          <cell r="M113">
            <v>10452393.290351711</v>
          </cell>
          <cell r="N113">
            <v>10434969.140803035</v>
          </cell>
          <cell r="O113">
            <v>10417401.310216146</v>
          </cell>
          <cell r="P113">
            <v>10399692.344093801</v>
          </cell>
          <cell r="Q113">
            <v>10389430.475365205</v>
          </cell>
          <cell r="R113">
            <v>10351732.438983098</v>
          </cell>
          <cell r="S113">
            <v>10314217.409318678</v>
          </cell>
          <cell r="T113">
            <v>10276884.185752602</v>
          </cell>
          <cell r="U113">
            <v>10239731.578765241</v>
          </cell>
          <cell r="V113">
            <v>10202758.409815744</v>
          </cell>
          <cell r="W113">
            <v>10165963.511222487</v>
          </cell>
          <cell r="X113">
            <v>10129345.726044826</v>
          </cell>
          <cell r="Y113">
            <v>10092903.907966161</v>
          </cell>
          <cell r="Z113">
            <v>10056636.921178341</v>
          </cell>
          <cell r="AA113">
            <v>10037187.352193907</v>
          </cell>
          <cell r="AB113">
            <v>10017853.418291328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.1"/>
      <sheetName val="7.3.2"/>
      <sheetName val="7.3.3."/>
      <sheetName val="Costuri unitare"/>
    </sheetNames>
    <sheetDataSet>
      <sheetData sheetId="0" refreshError="1">
        <row r="153">
          <cell r="D153">
            <v>8119308</v>
          </cell>
          <cell r="E153">
            <v>69635072</v>
          </cell>
          <cell r="F153">
            <v>14629357.5</v>
          </cell>
          <cell r="G153">
            <v>0</v>
          </cell>
        </row>
        <row r="154">
          <cell r="D154">
            <v>28123958</v>
          </cell>
          <cell r="E154">
            <v>33832123</v>
          </cell>
          <cell r="F154">
            <v>92120325</v>
          </cell>
          <cell r="G154">
            <v>2124100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ce CBA"/>
      <sheetName val="Input"/>
      <sheetName val="Calculation"/>
      <sheetName val="Sensitivity"/>
      <sheetName val="Output-E"/>
      <sheetName val="Output-H"/>
      <sheetName val="EconomicBenefits"/>
      <sheetName val="Financing"/>
      <sheetName val="Tarife"/>
      <sheetName val="VAT"/>
      <sheetName val="Suprafete"/>
      <sheetName val="New Investment 2015"/>
    </sheetNames>
    <sheetDataSet>
      <sheetData sheetId="0" refreshError="1"/>
      <sheetData sheetId="1" refreshError="1"/>
      <sheetData sheetId="2" refreshError="1">
        <row r="66">
          <cell r="G66">
            <v>1.030371866358281</v>
          </cell>
        </row>
        <row r="163">
          <cell r="G163">
            <v>-42853421.884357132</v>
          </cell>
        </row>
      </sheetData>
      <sheetData sheetId="3" refreshError="1">
        <row r="24">
          <cell r="E24">
            <v>-3876030.0744687449</v>
          </cell>
          <cell r="G24">
            <v>2120948.5293602836</v>
          </cell>
        </row>
        <row r="52">
          <cell r="E52">
            <v>52340832.055346161</v>
          </cell>
          <cell r="G52">
            <v>3039642.1663086819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Sorting"/>
      <sheetName val="MBT simple"/>
      <sheetName val="composting"/>
      <sheetName val="Landfill 0.8t"/>
      <sheetName val="Collection"/>
      <sheetName val="Hazwaste"/>
      <sheetName val="Transfer Station"/>
      <sheetName val="Sinteza"/>
      <sheetName val="case_blocuri"/>
      <sheetName val="invest plan large"/>
      <sheetName val="invest large wo proj"/>
      <sheetName val="Prior invest"/>
      <sheetName val=" Invest"/>
      <sheetName val="Comparison Counties"/>
      <sheetName val="  O&amp;M + revenues"/>
      <sheetName val="  O&amp;M +revenue + CAPEX"/>
      <sheetName val="Sheet1"/>
      <sheetName val="Tabelle1"/>
      <sheetName val="Analiza model nou"/>
      <sheetName val="grafic si tabel afordab1"/>
      <sheetName val="venituri"/>
      <sheetName val="Z1a SINPAUL T"/>
      <sheetName val="Z1b_sinpaul TM"/>
      <sheetName val="Z1c_sinpaul A"/>
      <sheetName val="Z2a_TM- TM"/>
      <sheetName val="Z2a_TM- A"/>
      <sheetName val="Z3_Sigisoara"/>
      <sheetName val="Z4_Reghin"/>
      <sheetName val="Z5_Tarnaveni"/>
      <sheetName val="Z6_balauseri"/>
      <sheetName val="Z7_Riciu"/>
      <sheetName val="Annex V"/>
      <sheetName val="Tables for  FS"/>
      <sheetName val="quant. Alt 1"/>
      <sheetName val="quant. Alt 2"/>
      <sheetName val="quant. Alt 3"/>
      <sheetName val="Interface CBA"/>
      <sheetName val="EconomicBenefits"/>
      <sheetName val="massbalance"/>
      <sheetName val="vehic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UAT"/>
      <sheetName val="Var"/>
      <sheetName val="DevGen"/>
      <sheetName val="DG UAT 01 Bacau"/>
      <sheetName val="DG UAT 02 Buhusi"/>
      <sheetName val="DG UAT 03 Darmanesti"/>
      <sheetName val="DG UAT 04 Moinesti"/>
      <sheetName val="DG UAT 05 Targu Ocna"/>
      <sheetName val="DG UAT 06 Balcani"/>
      <sheetName val="DG UAT 07 Barsanesti"/>
      <sheetName val="DG UAT 08 Beresti Tazlau"/>
      <sheetName val="DG UAT 09 Blagesti"/>
      <sheetName val="DG UAT 10 Casin"/>
      <sheetName val="DG UAT 11 Cleja"/>
      <sheetName val="DG UAT 12 Cotofanesti"/>
      <sheetName val="DG UAT 13 Dofteana"/>
      <sheetName val="DG UAT 14 Faraoani"/>
      <sheetName val="DG UAT 15 Filipesti"/>
      <sheetName val="DG UAT 16 Garleni"/>
      <sheetName val="DG UAT 17 Gioseni"/>
      <sheetName val="DG UAT 18 Gura Vaii"/>
      <sheetName val="DG UAT 19 Hemeius"/>
      <sheetName val="DG UAT 20 Letea Veche"/>
      <sheetName val="DG UAT 21 Livezi"/>
      <sheetName val="DG UAT 22 Luizi Calugara"/>
      <sheetName val="DG UAT 23 Magiresti"/>
      <sheetName val="DG UAT 24 Magura"/>
      <sheetName val="DG UAT 25 Manastirea Casin"/>
      <sheetName val="DG UAT 26 Margineni"/>
      <sheetName val="DG UAT 27 Nicolae Balcescu"/>
      <sheetName val="DG UAT 28 Orbeni"/>
      <sheetName val="DG UAT 29 Parjol"/>
      <sheetName val="DG UAT 30 Poduri"/>
      <sheetName val="DG UAT 31 Racaciuni"/>
      <sheetName val="DG UAT 32 Racova"/>
      <sheetName val="DG UAT 33 Sarata"/>
      <sheetName val="DG UAT 34 Saucesti"/>
      <sheetName val="DG UAT 35 Secuieni"/>
      <sheetName val="DG UAT 36 Stefan cel Mare"/>
      <sheetName val="DG UAT 37 Tamasi"/>
      <sheetName val="DG UAT 38 Targu Trotus"/>
      <sheetName val="DG UAT 39 Traian"/>
      <sheetName val="DG UAT 40 Valea Seaca"/>
      <sheetName val="DG UAT 41 Zemes"/>
      <sheetName val="DG UAT 42 CJ"/>
    </sheetNames>
    <sheetDataSet>
      <sheetData sheetId="0" refreshError="1"/>
      <sheetData sheetId="1" refreshError="1"/>
      <sheetData sheetId="2">
        <row r="36">
          <cell r="D36">
            <v>1.1206</v>
          </cell>
        </row>
      </sheetData>
      <sheetData sheetId="3" refreshError="1"/>
      <sheetData sheetId="4">
        <row r="126">
          <cell r="C126">
            <v>155267425.47306916</v>
          </cell>
        </row>
      </sheetData>
      <sheetData sheetId="5">
        <row r="126">
          <cell r="C126">
            <v>22759067.053792126</v>
          </cell>
        </row>
      </sheetData>
      <sheetData sheetId="6">
        <row r="126">
          <cell r="C126">
            <v>9265122.9020637888</v>
          </cell>
        </row>
      </sheetData>
      <sheetData sheetId="7">
        <row r="126">
          <cell r="C126">
            <v>77098384.981272399</v>
          </cell>
        </row>
      </sheetData>
      <sheetData sheetId="8">
        <row r="126">
          <cell r="C126">
            <v>23867527.989111464</v>
          </cell>
        </row>
      </sheetData>
      <sheetData sheetId="9">
        <row r="126">
          <cell r="C126">
            <v>61890663.920182206</v>
          </cell>
        </row>
      </sheetData>
      <sheetData sheetId="10">
        <row r="126">
          <cell r="C126">
            <v>24159108.743698996</v>
          </cell>
        </row>
      </sheetData>
      <sheetData sheetId="11">
        <row r="126">
          <cell r="C126">
            <v>22232632.149263531</v>
          </cell>
        </row>
      </sheetData>
      <sheetData sheetId="12">
        <row r="126">
          <cell r="C126">
            <v>97057420.076057062</v>
          </cell>
        </row>
      </sheetData>
      <sheetData sheetId="13">
        <row r="126">
          <cell r="C126">
            <v>29160817.93648231</v>
          </cell>
        </row>
      </sheetData>
      <sheetData sheetId="14">
        <row r="126">
          <cell r="C126">
            <v>43339225.712725736</v>
          </cell>
        </row>
      </sheetData>
      <sheetData sheetId="15">
        <row r="126">
          <cell r="C126">
            <v>23299496.110499233</v>
          </cell>
        </row>
      </sheetData>
      <sheetData sheetId="16">
        <row r="126">
          <cell r="C126">
            <v>52048119.884653114</v>
          </cell>
        </row>
      </sheetData>
      <sheetData sheetId="17">
        <row r="126">
          <cell r="C126">
            <v>17296196.1495426</v>
          </cell>
        </row>
      </sheetData>
      <sheetData sheetId="18">
        <row r="126">
          <cell r="C126">
            <v>38138839.800899006</v>
          </cell>
        </row>
      </sheetData>
      <sheetData sheetId="19">
        <row r="126">
          <cell r="C126">
            <v>64231212.306625761</v>
          </cell>
        </row>
      </sheetData>
      <sheetData sheetId="20">
        <row r="126">
          <cell r="C126">
            <v>22438100.990141317</v>
          </cell>
        </row>
      </sheetData>
      <sheetData sheetId="21" refreshError="1"/>
      <sheetData sheetId="22">
        <row r="126">
          <cell r="C126">
            <v>52298826.574862361</v>
          </cell>
        </row>
      </sheetData>
      <sheetData sheetId="23">
        <row r="126">
          <cell r="C126">
            <v>12207124.229742544</v>
          </cell>
        </row>
      </sheetData>
      <sheetData sheetId="24">
        <row r="126">
          <cell r="C126">
            <v>8815045.672524374</v>
          </cell>
        </row>
      </sheetData>
      <sheetData sheetId="25">
        <row r="126">
          <cell r="C126">
            <v>19164464.798302997</v>
          </cell>
        </row>
      </sheetData>
      <sheetData sheetId="26">
        <row r="126">
          <cell r="C126">
            <v>29950863.793060247</v>
          </cell>
        </row>
      </sheetData>
      <sheetData sheetId="27">
        <row r="126">
          <cell r="C126">
            <v>37600265.509801127</v>
          </cell>
        </row>
      </sheetData>
      <sheetData sheetId="28">
        <row r="126">
          <cell r="C126">
            <v>35783861.088457584</v>
          </cell>
        </row>
      </sheetData>
      <sheetData sheetId="29">
        <row r="126">
          <cell r="C126">
            <v>43749520.559915811</v>
          </cell>
        </row>
      </sheetData>
      <sheetData sheetId="30">
        <row r="126">
          <cell r="C126">
            <v>39134226.343380027</v>
          </cell>
        </row>
      </sheetData>
      <sheetData sheetId="31">
        <row r="126">
          <cell r="C126">
            <v>35059965.100421578</v>
          </cell>
        </row>
      </sheetData>
      <sheetData sheetId="32">
        <row r="126">
          <cell r="C126">
            <v>43715890.687280156</v>
          </cell>
        </row>
      </sheetData>
      <sheetData sheetId="33">
        <row r="126">
          <cell r="C126">
            <v>38486689.065497331</v>
          </cell>
        </row>
      </sheetData>
      <sheetData sheetId="34">
        <row r="126">
          <cell r="C126">
            <v>59780890.638719127</v>
          </cell>
        </row>
      </sheetData>
      <sheetData sheetId="35">
        <row r="126">
          <cell r="C126">
            <v>47879437.357999355</v>
          </cell>
        </row>
      </sheetData>
      <sheetData sheetId="36">
        <row r="126">
          <cell r="C126">
            <v>6539924.5171286315</v>
          </cell>
        </row>
      </sheetData>
      <sheetData sheetId="37">
        <row r="126">
          <cell r="C126">
            <v>5983753.5677245231</v>
          </cell>
        </row>
      </sheetData>
      <sheetData sheetId="38">
        <row r="126">
          <cell r="C126">
            <v>17164889.580792751</v>
          </cell>
        </row>
      </sheetData>
      <sheetData sheetId="39">
        <row r="126">
          <cell r="C126">
            <v>31862895.949227393</v>
          </cell>
        </row>
      </sheetData>
      <sheetData sheetId="40">
        <row r="126">
          <cell r="C126">
            <v>20558831.063954648</v>
          </cell>
        </row>
      </sheetData>
      <sheetData sheetId="41">
        <row r="126">
          <cell r="C126">
            <v>27281723.456072163</v>
          </cell>
        </row>
      </sheetData>
      <sheetData sheetId="42">
        <row r="126">
          <cell r="C126">
            <v>9080552.0873055495</v>
          </cell>
        </row>
      </sheetData>
      <sheetData sheetId="43">
        <row r="126">
          <cell r="C126">
            <v>10804234.833107937</v>
          </cell>
        </row>
      </sheetData>
      <sheetData sheetId="44">
        <row r="126">
          <cell r="C126">
            <v>21566769.259232409</v>
          </cell>
        </row>
      </sheetData>
      <sheetData sheetId="45">
        <row r="126">
          <cell r="C126">
            <v>523733588.31223029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Costs "/>
      <sheetName val="O&amp;M Admin. costs"/>
      <sheetName val="basic data"/>
      <sheetName val="Sorting"/>
      <sheetName val="MBT simple"/>
      <sheetName val="composting"/>
      <sheetName val="Transfer Station"/>
      <sheetName val="Landfill 0.8t"/>
      <sheetName val="Collection"/>
      <sheetName val="Hazwaste"/>
      <sheetName val="Transporttransfer"/>
      <sheetName val="closure costs"/>
      <sheetName val="Alternative 1"/>
      <sheetName val="% houses_flats"/>
      <sheetName val="Phare-CES"/>
      <sheetName val="quantities alt 2"/>
      <sheetName val="invest plan large"/>
      <sheetName val=" Invest"/>
      <sheetName val="  O&amp;M + revenues"/>
      <sheetName val="  O&amp;M +revenue + CAPEX"/>
      <sheetName val="pop+quant"/>
      <sheetName val="Hazard + bul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0">
          <cell r="D20">
            <v>0.8</v>
          </cell>
        </row>
      </sheetData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judet"/>
      <sheetName val="mass flows"/>
      <sheetName val="Compozitia_municipale"/>
      <sheetName val="PROG. municipale"/>
      <sheetName val="Prognoza bio"/>
      <sheetName val="Prognoza deseuri ambalaje"/>
      <sheetName val="municipal waste"/>
      <sheetName val="pondere bio"/>
      <sheetName val="Sheet1"/>
      <sheetName val="Impartirea pe regiuni"/>
      <sheetName val="Impartirea pe jud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cantitati total judet"/>
      <sheetName val="Alternative 1 Neamt"/>
      <sheetName val="Tables for  FS"/>
      <sheetName val="invest plan large"/>
      <sheetName val="Analiza 1"/>
      <sheetName val="Interface CBA"/>
      <sheetName val="Inputf1"/>
      <sheetName val="Output"/>
      <sheetName val="Equiv EUR"/>
      <sheetName val="EconomicBenefi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C8" t="str">
            <v>REVENUES</v>
          </cell>
        </row>
        <row r="12">
          <cell r="D12" t="str">
            <v>Residential customers</v>
          </cell>
        </row>
        <row r="13">
          <cell r="C13">
            <v>97</v>
          </cell>
          <cell r="D13" t="str">
            <v>Total inhabitants in service area</v>
          </cell>
          <cell r="E13" t="str">
            <v>Pers</v>
          </cell>
          <cell r="F13">
            <v>566100</v>
          </cell>
          <cell r="G13">
            <v>564200</v>
          </cell>
          <cell r="H13">
            <v>562100</v>
          </cell>
          <cell r="I13">
            <v>559800</v>
          </cell>
          <cell r="J13">
            <v>557400</v>
          </cell>
          <cell r="K13">
            <v>554700</v>
          </cell>
          <cell r="L13">
            <v>551800</v>
          </cell>
          <cell r="M13">
            <v>548700</v>
          </cell>
          <cell r="N13">
            <v>545500</v>
          </cell>
          <cell r="O13">
            <v>542000</v>
          </cell>
          <cell r="P13">
            <v>538400</v>
          </cell>
          <cell r="Q13">
            <v>534600</v>
          </cell>
          <cell r="R13">
            <v>530700</v>
          </cell>
          <cell r="S13">
            <v>526500</v>
          </cell>
          <cell r="T13">
            <v>522200</v>
          </cell>
          <cell r="U13">
            <v>517700</v>
          </cell>
          <cell r="V13">
            <v>513200</v>
          </cell>
          <cell r="W13">
            <v>508500</v>
          </cell>
          <cell r="X13">
            <v>503800</v>
          </cell>
          <cell r="Y13">
            <v>497400</v>
          </cell>
          <cell r="Z13">
            <v>494400</v>
          </cell>
          <cell r="AA13">
            <v>491300</v>
          </cell>
          <cell r="AB13">
            <v>488200</v>
          </cell>
          <cell r="AC13">
            <v>485200</v>
          </cell>
          <cell r="AD13">
            <v>482200</v>
          </cell>
          <cell r="AE13">
            <v>321800</v>
          </cell>
          <cell r="AF13">
            <v>320700</v>
          </cell>
          <cell r="AG13">
            <v>319700</v>
          </cell>
          <cell r="AH13">
            <v>318700</v>
          </cell>
          <cell r="AI13">
            <v>317600</v>
          </cell>
          <cell r="AJ13">
            <v>316600</v>
          </cell>
          <cell r="AK13">
            <v>315600</v>
          </cell>
          <cell r="AL13">
            <v>215814</v>
          </cell>
        </row>
        <row r="14">
          <cell r="D14" t="str">
            <v>Annual growth</v>
          </cell>
          <cell r="E14" t="str">
            <v>%</v>
          </cell>
          <cell r="F14" t="str">
            <v>n/a</v>
          </cell>
          <cell r="G14">
            <v>-3.3562974739445028E-3</v>
          </cell>
          <cell r="H14">
            <v>-3.7220843672456372E-3</v>
          </cell>
          <cell r="I14">
            <v>-4.0917986123465422E-3</v>
          </cell>
          <cell r="J14">
            <v>-4.2872454448017461E-3</v>
          </cell>
          <cell r="K14">
            <v>-4.843918191603902E-3</v>
          </cell>
          <cell r="L14">
            <v>-5.2280511988461731E-3</v>
          </cell>
          <cell r="M14">
            <v>-5.6179775280899014E-3</v>
          </cell>
          <cell r="N14">
            <v>-5.8319664661927728E-3</v>
          </cell>
          <cell r="O14">
            <v>-6.4161319890009283E-3</v>
          </cell>
          <cell r="P14">
            <v>-6.6420664206642277E-3</v>
          </cell>
          <cell r="Q14">
            <v>-7.0579494799405396E-3</v>
          </cell>
          <cell r="R14">
            <v>-7.2951739618406508E-3</v>
          </cell>
          <cell r="S14">
            <v>-7.9140757490107072E-3</v>
          </cell>
          <cell r="T14">
            <v>-8.1671415004748171E-3</v>
          </cell>
          <cell r="U14">
            <v>-8.6173879739563919E-3</v>
          </cell>
          <cell r="V14">
            <v>-8.6922928336874428E-3</v>
          </cell>
          <cell r="W14">
            <v>-9.1582229150428685E-3</v>
          </cell>
          <cell r="X14">
            <v>-9.2428711897738491E-3</v>
          </cell>
          <cell r="Y14">
            <v>-1.2703453751488736E-2</v>
          </cell>
          <cell r="Z14">
            <v>-6.0313630880578506E-3</v>
          </cell>
          <cell r="AA14">
            <v>-6.270226537216872E-3</v>
          </cell>
          <cell r="AB14">
            <v>-6.309790352126976E-3</v>
          </cell>
          <cell r="AC14">
            <v>-6.1450225317493112E-3</v>
          </cell>
          <cell r="AD14">
            <v>-6.1830173124485244E-3</v>
          </cell>
          <cell r="AE14">
            <v>-0.33264205723766072</v>
          </cell>
          <cell r="AF14">
            <v>-3.418272218769447E-3</v>
          </cell>
          <cell r="AG14">
            <v>-3.1181789834736628E-3</v>
          </cell>
          <cell r="AH14">
            <v>-3.1279324366593197E-3</v>
          </cell>
          <cell r="AI14">
            <v>-3.4515218073423171E-3</v>
          </cell>
          <cell r="AJ14">
            <v>-3.1486146095718315E-3</v>
          </cell>
          <cell r="AK14">
            <v>-3.1585596967782514E-3</v>
          </cell>
          <cell r="AL14">
            <v>-0.31617870722433461</v>
          </cell>
        </row>
        <row r="15">
          <cell r="C15">
            <v>98</v>
          </cell>
          <cell r="D15" t="str">
            <v>Waste generation</v>
          </cell>
          <cell r="E15" t="str">
            <v>Tons</v>
          </cell>
          <cell r="F15">
            <v>125713.66499999999</v>
          </cell>
          <cell r="G15">
            <v>126126.65519999999</v>
          </cell>
          <cell r="H15">
            <v>126507.79677311999</v>
          </cell>
          <cell r="I15">
            <v>126836.8712497152</v>
          </cell>
          <cell r="J15">
            <v>127147.66476167284</v>
          </cell>
          <cell r="K15">
            <v>127369.09075694463</v>
          </cell>
          <cell r="L15">
            <v>127534.61698014291</v>
          </cell>
          <cell r="M15">
            <v>127642.92442255132</v>
          </cell>
          <cell r="N15">
            <v>127708.6232760452</v>
          </cell>
          <cell r="O15">
            <v>127698.58021566519</v>
          </cell>
          <cell r="P15">
            <v>127643.44263776828</v>
          </cell>
          <cell r="Q15">
            <v>127525.85970751737</v>
          </cell>
          <cell r="R15">
            <v>127360.87527309547</v>
          </cell>
          <cell r="S15">
            <v>127093.19152173388</v>
          </cell>
          <cell r="T15">
            <v>126796.34264682439</v>
          </cell>
          <cell r="U15">
            <v>126410.10100285833</v>
          </cell>
          <cell r="V15">
            <v>126009.56452665941</v>
          </cell>
          <cell r="W15">
            <v>125538.52423235528</v>
          </cell>
          <cell r="X15">
            <v>125029.97553604723</v>
          </cell>
          <cell r="Y15">
            <v>123988.44244828723</v>
          </cell>
          <cell r="Z15">
            <v>124008.65633964779</v>
          </cell>
          <cell r="AA15">
            <v>124003.56757573145</v>
          </cell>
          <cell r="AB15">
            <v>123990.46083758667</v>
          </cell>
          <cell r="AC15">
            <v>123987.1831658166</v>
          </cell>
          <cell r="AD15">
            <v>123998.89760647669</v>
          </cell>
          <cell r="AE15">
            <v>83256.818917948462</v>
          </cell>
          <cell r="AF15">
            <v>83492.183841552513</v>
          </cell>
          <cell r="AG15">
            <v>83746.185263326945</v>
          </cell>
          <cell r="AH15">
            <v>84008.872958782871</v>
          </cell>
          <cell r="AI15">
            <v>84248.271083995074</v>
          </cell>
          <cell r="AJ15">
            <v>84495.613817717502</v>
          </cell>
          <cell r="AK15">
            <v>84763.213610573483</v>
          </cell>
          <cell r="AL15">
            <v>57445.414722214467</v>
          </cell>
        </row>
        <row r="16">
          <cell r="D16" t="str">
            <v>Annual growth</v>
          </cell>
          <cell r="E16" t="str">
            <v>%</v>
          </cell>
          <cell r="F16" t="str">
            <v>n/a</v>
          </cell>
          <cell r="G16">
            <v>3.2851655386867407E-3</v>
          </cell>
          <cell r="H16">
            <v>3.0218955106326995E-3</v>
          </cell>
          <cell r="I16">
            <v>2.6012189366113603E-3</v>
          </cell>
          <cell r="J16">
            <v>2.4503404167528497E-3</v>
          </cell>
          <cell r="K16">
            <v>1.741486921421842E-3</v>
          </cell>
          <cell r="L16">
            <v>1.2995792167045384E-3</v>
          </cell>
          <cell r="M16">
            <v>8.492395631318761E-4</v>
          </cell>
          <cell r="N16">
            <v>5.1470815002940817E-4</v>
          </cell>
          <cell r="O16">
            <v>-7.8640424760467731E-5</v>
          </cell>
          <cell r="P16">
            <v>-4.3177909890457222E-4</v>
          </cell>
          <cell r="Q16">
            <v>-9.2118269314145351E-4</v>
          </cell>
          <cell r="R16">
            <v>-1.2937331675340058E-3</v>
          </cell>
          <cell r="S16">
            <v>-2.1017738044560863E-3</v>
          </cell>
          <cell r="T16">
            <v>-2.3356788145393326E-3</v>
          </cell>
          <cell r="U16">
            <v>-3.0461576091503906E-3</v>
          </cell>
          <cell r="V16">
            <v>-3.1685480275809308E-3</v>
          </cell>
          <cell r="W16">
            <v>-3.7381312765704111E-3</v>
          </cell>
          <cell r="X16">
            <v>-4.0509373470631882E-3</v>
          </cell>
          <cell r="Y16">
            <v>-8.3302670683137459E-3</v>
          </cell>
          <cell r="Z16">
            <v>1.6303044833376745E-4</v>
          </cell>
          <cell r="AA16">
            <v>-4.1035554021351395E-5</v>
          </cell>
          <cell r="AB16">
            <v>-1.0569646019886747E-4</v>
          </cell>
          <cell r="AC16">
            <v>-2.6434870456282233E-5</v>
          </cell>
          <cell r="AD16">
            <v>9.4481061356344043E-5</v>
          </cell>
          <cell r="AE16">
            <v>-0.32856807177292358</v>
          </cell>
          <cell r="AF16">
            <v>2.8269747350786467E-3</v>
          </cell>
          <cell r="AG16">
            <v>3.042217966851446E-3</v>
          </cell>
          <cell r="AH16">
            <v>3.1367123723897716E-3</v>
          </cell>
          <cell r="AI16">
            <v>2.8496766684353858E-3</v>
          </cell>
          <cell r="AJ16">
            <v>2.9358790458242634E-3</v>
          </cell>
          <cell r="AK16">
            <v>3.1670258462559442E-3</v>
          </cell>
          <cell r="AL16">
            <v>-0.32228366203604342</v>
          </cell>
        </row>
        <row r="17">
          <cell r="C17">
            <v>99</v>
          </cell>
          <cell r="D17" t="str">
            <v>Coverage of collection service</v>
          </cell>
          <cell r="E17" t="str">
            <v>%</v>
          </cell>
          <cell r="F17">
            <v>0.33227466236010628</v>
          </cell>
          <cell r="G17">
            <v>0.57252209768994744</v>
          </cell>
          <cell r="H17">
            <v>0.84818823912162289</v>
          </cell>
          <cell r="I17">
            <v>0.89370026620906573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</row>
        <row r="19">
          <cell r="D19" t="str">
            <v>Non-residential customers</v>
          </cell>
        </row>
        <row r="20">
          <cell r="C20">
            <v>100</v>
          </cell>
          <cell r="D20" t="str">
            <v>Waste generation</v>
          </cell>
          <cell r="E20" t="str">
            <v>Tons</v>
          </cell>
          <cell r="F20">
            <v>33108</v>
          </cell>
          <cell r="G20">
            <v>34735.502429123786</v>
          </cell>
          <cell r="H20">
            <v>37125.645109667705</v>
          </cell>
          <cell r="I20">
            <v>37681.393478428705</v>
          </cell>
          <cell r="J20">
            <v>38776.667261984789</v>
          </cell>
          <cell r="K20">
            <v>39074.476015768072</v>
          </cell>
          <cell r="L20">
            <v>39373.005025283732</v>
          </cell>
          <cell r="M20">
            <v>39672.234251042246</v>
          </cell>
          <cell r="N20">
            <v>39973.731272091296</v>
          </cell>
          <cell r="O20">
            <v>40274.311642528461</v>
          </cell>
          <cell r="P20">
            <v>40577.142980091216</v>
          </cell>
          <cell r="Q20">
            <v>40880.615558041347</v>
          </cell>
          <cell r="R20">
            <v>41186.346760087945</v>
          </cell>
          <cell r="S20">
            <v>41492.700668725636</v>
          </cell>
          <cell r="T20">
            <v>41799.654459397003</v>
          </cell>
          <cell r="U20">
            <v>42108.86397787631</v>
          </cell>
          <cell r="V20">
            <v>42420.345670765884</v>
          </cell>
          <cell r="W20">
            <v>42732.409947934779</v>
          </cell>
          <cell r="X20">
            <v>43048.472156171883</v>
          </cell>
          <cell r="Y20">
            <v>43354.721543142761</v>
          </cell>
          <cell r="Z20">
            <v>43684.084998487582</v>
          </cell>
          <cell r="AA20">
            <v>44014.182155785522</v>
          </cell>
          <cell r="AB20">
            <v>44346.765086160318</v>
          </cell>
          <cell r="AC20">
            <v>44683.642142225544</v>
          </cell>
          <cell r="AD20">
            <v>45021.267014108213</v>
          </cell>
          <cell r="AE20">
            <v>45471.479684249294</v>
          </cell>
          <cell r="AF20">
            <v>45926.194481091785</v>
          </cell>
          <cell r="AG20">
            <v>46385.456425902703</v>
          </cell>
          <cell r="AH20">
            <v>46849.310990161728</v>
          </cell>
          <cell r="AI20">
            <v>47317.804100063346</v>
          </cell>
          <cell r="AJ20">
            <v>47790.982141063978</v>
          </cell>
          <cell r="AK20">
            <v>48268.89196247462</v>
          </cell>
          <cell r="AL20">
            <v>48751.580882099362</v>
          </cell>
        </row>
        <row r="21">
          <cell r="D21" t="str">
            <v>Annual growth</v>
          </cell>
          <cell r="E21" t="str">
            <v>%</v>
          </cell>
          <cell r="F21" t="str">
            <v>n/a</v>
          </cell>
          <cell r="G21">
            <v>4.9157376740479153E-2</v>
          </cell>
          <cell r="H21">
            <v>6.8809791521538877E-2</v>
          </cell>
          <cell r="I21">
            <v>1.4969392912078439E-2</v>
          </cell>
          <cell r="J21">
            <v>2.9066700629930109E-2</v>
          </cell>
          <cell r="K21">
            <v>7.6801018450403102E-3</v>
          </cell>
          <cell r="L21">
            <v>7.6400003264327498E-3</v>
          </cell>
          <cell r="M21">
            <v>7.5998574547806452E-3</v>
          </cell>
          <cell r="N21">
            <v>7.5996985483903767E-3</v>
          </cell>
          <cell r="O21">
            <v>7.5194474188857718E-3</v>
          </cell>
          <cell r="P21">
            <v>7.5192182116148309E-3</v>
          </cell>
          <cell r="Q21">
            <v>7.4789045177239277E-3</v>
          </cell>
          <cell r="R21">
            <v>7.4786349929718554E-3</v>
          </cell>
          <cell r="S21">
            <v>7.4382394345926528E-3</v>
          </cell>
          <cell r="T21">
            <v>7.3977780603402543E-3</v>
          </cell>
          <cell r="U21">
            <v>7.3974180523350697E-3</v>
          </cell>
          <cell r="V21">
            <v>7.3970576136470623E-3</v>
          </cell>
          <cell r="W21">
            <v>7.356476526403144E-3</v>
          </cell>
          <cell r="X21">
            <v>7.3963113389157176E-3</v>
          </cell>
          <cell r="Y21">
            <v>7.1140593761345183E-3</v>
          </cell>
          <cell r="Z21">
            <v>7.596945468028693E-3</v>
          </cell>
          <cell r="AA21">
            <v>7.5564626639053056E-3</v>
          </cell>
          <cell r="AB21">
            <v>7.5562674139357799E-3</v>
          </cell>
          <cell r="AC21">
            <v>7.5964290836256776E-3</v>
          </cell>
          <cell r="AD21">
            <v>7.5558941862443607E-3</v>
          </cell>
          <cell r="AE21">
            <v>1.0000000000000009E-2</v>
          </cell>
          <cell r="AF21">
            <v>1.0000000000000009E-2</v>
          </cell>
          <cell r="AG21">
            <v>1.0000000000000009E-2</v>
          </cell>
          <cell r="AH21">
            <v>1.0000000000000009E-2</v>
          </cell>
          <cell r="AI21">
            <v>1.0000000000000009E-2</v>
          </cell>
          <cell r="AJ21">
            <v>1.0000000000000009E-2</v>
          </cell>
          <cell r="AK21">
            <v>1.0000000000000009E-2</v>
          </cell>
          <cell r="AL21">
            <v>1.0000000000000009E-2</v>
          </cell>
        </row>
        <row r="22">
          <cell r="C22">
            <v>101</v>
          </cell>
          <cell r="D22" t="str">
            <v>Coverage of collection service</v>
          </cell>
          <cell r="E22" t="str">
            <v>%</v>
          </cell>
          <cell r="F22">
            <v>0.85236579089738396</v>
          </cell>
          <cell r="G22">
            <v>0.88555471114776108</v>
          </cell>
          <cell r="H22">
            <v>0.93351591178977933</v>
          </cell>
          <cell r="I22">
            <v>0.94599127847624387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1</v>
          </cell>
          <cell r="X22">
            <v>1</v>
          </cell>
          <cell r="Y22">
            <v>1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</row>
        <row r="24">
          <cell r="D24" t="str">
            <v>Revenues</v>
          </cell>
        </row>
        <row r="25">
          <cell r="C25">
            <v>102</v>
          </cell>
          <cell r="D25" t="str">
            <v>User fees - residential customers</v>
          </cell>
          <cell r="E25" t="str">
            <v>Th RON</v>
          </cell>
          <cell r="F25">
            <v>6265.7198387889757</v>
          </cell>
          <cell r="G25">
            <v>13440.736018368569</v>
          </cell>
          <cell r="H25">
            <v>23938.123421189575</v>
          </cell>
          <cell r="I25">
            <v>30833.802170026367</v>
          </cell>
          <cell r="J25">
            <v>40794.25735869944</v>
          </cell>
          <cell r="K25">
            <v>42763.407186878809</v>
          </cell>
          <cell r="L25">
            <v>53045.55758107976</v>
          </cell>
          <cell r="M25">
            <v>54592.315677465165</v>
          </cell>
          <cell r="N25">
            <v>55821.662628372695</v>
          </cell>
          <cell r="O25">
            <v>56856.656565251011</v>
          </cell>
          <cell r="P25">
            <v>57846.161987292879</v>
          </cell>
          <cell r="Q25">
            <v>59997.792024814953</v>
          </cell>
          <cell r="R25">
            <v>61118.895404700525</v>
          </cell>
          <cell r="S25">
            <v>60378.639811877751</v>
          </cell>
          <cell r="T25">
            <v>61362.887292437568</v>
          </cell>
          <cell r="U25">
            <v>62432.801145662139</v>
          </cell>
          <cell r="V25">
            <v>63517.986146108015</v>
          </cell>
          <cell r="W25">
            <v>64599.989603352718</v>
          </cell>
          <cell r="X25">
            <v>65682.409945025414</v>
          </cell>
          <cell r="Y25">
            <v>66508.054126789459</v>
          </cell>
          <cell r="Z25">
            <v>67928.218711072841</v>
          </cell>
          <cell r="AA25">
            <v>69460.020504375017</v>
          </cell>
          <cell r="AB25">
            <v>70827.884037142721</v>
          </cell>
          <cell r="AC25">
            <v>72233.123487060744</v>
          </cell>
          <cell r="AD25">
            <v>73676.578704023283</v>
          </cell>
          <cell r="AE25">
            <v>50458.183450504635</v>
          </cell>
          <cell r="AF25">
            <v>51612.844009503118</v>
          </cell>
          <cell r="AG25">
            <v>52805.258761486519</v>
          </cell>
          <cell r="AH25">
            <v>54030.311543370335</v>
          </cell>
          <cell r="AI25">
            <v>55267.966070795053</v>
          </cell>
          <cell r="AJ25">
            <v>56538.830656973383</v>
          </cell>
          <cell r="AK25">
            <v>57852.248406880739</v>
          </cell>
          <cell r="AL25">
            <v>39991.562211958204</v>
          </cell>
        </row>
        <row r="26">
          <cell r="C26">
            <v>103</v>
          </cell>
          <cell r="D26" t="str">
            <v>User fees - economic units</v>
          </cell>
          <cell r="E26" t="str">
            <v>Th RON</v>
          </cell>
          <cell r="F26">
            <v>7055.0316512576474</v>
          </cell>
          <cell r="G26">
            <v>8297.047994700617</v>
          </cell>
          <cell r="H26">
            <v>9853.0562927363262</v>
          </cell>
          <cell r="I26">
            <v>18648.570000366504</v>
          </cell>
          <cell r="J26">
            <v>22223.040488416926</v>
          </cell>
          <cell r="K26">
            <v>24364.962293358352</v>
          </cell>
          <cell r="L26">
            <v>25490.92712750769</v>
          </cell>
          <cell r="M26">
            <v>26590.038612604309</v>
          </cell>
          <cell r="N26">
            <v>27682.416868259821</v>
          </cell>
          <cell r="O26">
            <v>28732.8686613875</v>
          </cell>
          <cell r="P26">
            <v>29823.17467529323</v>
          </cell>
          <cell r="Q26">
            <v>30953.61517550853</v>
          </cell>
          <cell r="R26">
            <v>32126.896165265665</v>
          </cell>
          <cell r="S26">
            <v>33343.312795312449</v>
          </cell>
          <cell r="T26">
            <v>34604.396595708378</v>
          </cell>
          <cell r="U26">
            <v>35913.16325324565</v>
          </cell>
          <cell r="V26">
            <v>37271.415203643948</v>
          </cell>
          <cell r="W26">
            <v>38679.478659835186</v>
          </cell>
          <cell r="X26">
            <v>40142.324163048463</v>
          </cell>
          <cell r="Y26">
            <v>41648.821591667773</v>
          </cell>
          <cell r="Z26">
            <v>43232.575225734166</v>
          </cell>
          <cell r="AA26">
            <v>44874.75023539392</v>
          </cell>
          <cell r="AB26">
            <v>46579.293690924977</v>
          </cell>
          <cell r="AC26">
            <v>48350.510517978306</v>
          </cell>
          <cell r="AD26">
            <v>50187.060283454011</v>
          </cell>
          <cell r="AE26">
            <v>52219.736599054457</v>
          </cell>
          <cell r="AF26">
            <v>54334.740370789361</v>
          </cell>
          <cell r="AG26">
            <v>56535.406025287077</v>
          </cell>
          <cell r="AH26">
            <v>58825.203040123262</v>
          </cell>
          <cell r="AI26">
            <v>61207.74141365433</v>
          </cell>
          <cell r="AJ26">
            <v>63686.777356390165</v>
          </cell>
          <cell r="AK26">
            <v>66266.219212878685</v>
          </cell>
          <cell r="AL26">
            <v>68950.133623438698</v>
          </cell>
        </row>
        <row r="27">
          <cell r="C27">
            <v>104</v>
          </cell>
          <cell r="D27" t="str">
            <v>Sale of recyclable materials</v>
          </cell>
          <cell r="E27" t="str">
            <v>Th RON</v>
          </cell>
          <cell r="F27">
            <v>78.986444556174703</v>
          </cell>
          <cell r="G27">
            <v>94.783733467409661</v>
          </cell>
          <cell r="H27">
            <v>113.74048016089161</v>
          </cell>
          <cell r="I27">
            <v>185.27844177643922</v>
          </cell>
          <cell r="J27">
            <v>1887.0525133468786</v>
          </cell>
          <cell r="K27">
            <v>1967.8329002426419</v>
          </cell>
          <cell r="L27">
            <v>2138.7029634970445</v>
          </cell>
          <cell r="M27">
            <v>2209.7305221477682</v>
          </cell>
          <cell r="N27">
            <v>2273.876574515969</v>
          </cell>
          <cell r="O27">
            <v>2327.4002218086475</v>
          </cell>
          <cell r="P27">
            <v>2376.4984300327924</v>
          </cell>
          <cell r="Q27">
            <v>2425.6769476739928</v>
          </cell>
          <cell r="R27">
            <v>2580.3032646583515</v>
          </cell>
          <cell r="S27">
            <v>2630.6465971603816</v>
          </cell>
          <cell r="T27">
            <v>2681.5734004277815</v>
          </cell>
          <cell r="U27">
            <v>2731.7295989507247</v>
          </cell>
          <cell r="V27">
            <v>2782.5865459935508</v>
          </cell>
          <cell r="W27">
            <v>2833.0960118427593</v>
          </cell>
          <cell r="X27">
            <v>2883.6335003582481</v>
          </cell>
          <cell r="Y27">
            <v>2924.4116812936827</v>
          </cell>
          <cell r="Z27">
            <v>2987.8045938011369</v>
          </cell>
          <cell r="AA27">
            <v>3052.1989515629639</v>
          </cell>
          <cell r="AB27">
            <v>3117.8535832121015</v>
          </cell>
          <cell r="AC27">
            <v>3185.0555304889785</v>
          </cell>
          <cell r="AD27">
            <v>3254.2966743839097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105</v>
          </cell>
          <cell r="D28" t="str">
            <v>Sale of compost</v>
          </cell>
          <cell r="E28" t="str">
            <v>Th RON</v>
          </cell>
          <cell r="F28">
            <v>18.916363636363634</v>
          </cell>
          <cell r="G28">
            <v>15.133090909090907</v>
          </cell>
          <cell r="H28">
            <v>12.711796363636363</v>
          </cell>
          <cell r="I28">
            <v>13.936054296904873</v>
          </cell>
          <cell r="J28">
            <v>37.724422510247877</v>
          </cell>
          <cell r="K28">
            <v>39.530054085093624</v>
          </cell>
          <cell r="L28">
            <v>39.725619129124127</v>
          </cell>
          <cell r="M28">
            <v>40.956436687062578</v>
          </cell>
          <cell r="N28">
            <v>42.138478006768388</v>
          </cell>
          <cell r="O28">
            <v>43.222827563738264</v>
          </cell>
          <cell r="P28">
            <v>44.330260746428714</v>
          </cell>
          <cell r="Q28">
            <v>45.461089010996915</v>
          </cell>
          <cell r="R28">
            <v>45.342897556996704</v>
          </cell>
          <cell r="S28">
            <v>46.486032366902592</v>
          </cell>
          <cell r="T28">
            <v>47.65759226447738</v>
          </cell>
          <cell r="U28">
            <v>48.848174632541991</v>
          </cell>
          <cell r="V28">
            <v>50.068018815179578</v>
          </cell>
          <cell r="W28">
            <v>51.31249187305005</v>
          </cell>
          <cell r="X28">
            <v>52.581863299837636</v>
          </cell>
          <cell r="Y28">
            <v>53.825619123184396</v>
          </cell>
          <cell r="Z28">
            <v>55.225338108355594</v>
          </cell>
          <cell r="AA28">
            <v>56.661206325895854</v>
          </cell>
          <cell r="AB28">
            <v>58.134149743572884</v>
          </cell>
          <cell r="AC28">
            <v>59.645117813838461</v>
          </cell>
          <cell r="AD28">
            <v>61.201566075669966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C29">
            <v>106</v>
          </cell>
          <cell r="D29" t="str">
            <v>Sale of energy</v>
          </cell>
          <cell r="E29" t="str">
            <v>Th RON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107</v>
          </cell>
          <cell r="D30" t="str">
            <v>Other revenues</v>
          </cell>
          <cell r="E30" t="str">
            <v>Th RON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108</v>
          </cell>
          <cell r="D31" t="str">
            <v>TOTAL REVENUES</v>
          </cell>
          <cell r="E31" t="str">
            <v>Th RON</v>
          </cell>
          <cell r="F31">
            <v>13418.65429823916</v>
          </cell>
          <cell r="G31">
            <v>21847.700837445685</v>
          </cell>
          <cell r="H31">
            <v>33917.631990450427</v>
          </cell>
          <cell r="I31">
            <v>49681.586666466224</v>
          </cell>
          <cell r="J31">
            <v>64942.07478297349</v>
          </cell>
          <cell r="K31">
            <v>69135.732434564896</v>
          </cell>
          <cell r="L31">
            <v>80714.913291213612</v>
          </cell>
          <cell r="M31">
            <v>83433.041248904308</v>
          </cell>
          <cell r="N31">
            <v>85820.094549155256</v>
          </cell>
          <cell r="O31">
            <v>87960.148276010892</v>
          </cell>
          <cell r="P31">
            <v>90090.16535336533</v>
          </cell>
          <cell r="Q31">
            <v>93422.545237008453</v>
          </cell>
          <cell r="R31">
            <v>95871.437732181526</v>
          </cell>
          <cell r="S31">
            <v>96399.085236717481</v>
          </cell>
          <cell r="T31">
            <v>98696.514880838207</v>
          </cell>
          <cell r="U31">
            <v>101126.54217249106</v>
          </cell>
          <cell r="V31">
            <v>103622.05591456068</v>
          </cell>
          <cell r="W31">
            <v>106163.87676690372</v>
          </cell>
          <cell r="X31">
            <v>108760.94947173196</v>
          </cell>
          <cell r="Y31">
            <v>111135.11301887409</v>
          </cell>
          <cell r="Z31">
            <v>114203.8238687165</v>
          </cell>
          <cell r="AA31">
            <v>117443.6308976578</v>
          </cell>
          <cell r="AB31">
            <v>120583.16546102338</v>
          </cell>
          <cell r="AC31">
            <v>123828.33465334188</v>
          </cell>
          <cell r="AD31">
            <v>127179.13722793687</v>
          </cell>
          <cell r="AE31">
            <v>102677.92004955909</v>
          </cell>
          <cell r="AF31">
            <v>105947.58438029248</v>
          </cell>
          <cell r="AG31">
            <v>109340.66478677359</v>
          </cell>
          <cell r="AH31">
            <v>112855.5145834936</v>
          </cell>
          <cell r="AI31">
            <v>116475.70748444938</v>
          </cell>
          <cell r="AJ31">
            <v>120225.60801336356</v>
          </cell>
          <cell r="AK31">
            <v>124118.46761975942</v>
          </cell>
          <cell r="AL31">
            <v>108941.69583539691</v>
          </cell>
        </row>
        <row r="32">
          <cell r="D32" t="str">
            <v>Annual growth</v>
          </cell>
          <cell r="E32" t="str">
            <v>%</v>
          </cell>
          <cell r="F32" t="str">
            <v>n/a</v>
          </cell>
          <cell r="G32">
            <v>0.62815885645944491</v>
          </cell>
          <cell r="H32">
            <v>0.55245772737411269</v>
          </cell>
          <cell r="I32">
            <v>0.46477167629079075</v>
          </cell>
          <cell r="J32">
            <v>0.30716587654411009</v>
          </cell>
          <cell r="K32">
            <v>6.457535681768678E-2</v>
          </cell>
          <cell r="L32">
            <v>0.16748474991001361</v>
          </cell>
          <cell r="M32">
            <v>3.3675659761708276E-2</v>
          </cell>
          <cell r="N32">
            <v>2.8610407393992565E-2</v>
          </cell>
          <cell r="O32">
            <v>2.4936510943015522E-2</v>
          </cell>
          <cell r="P32">
            <v>2.4215705852048464E-2</v>
          </cell>
          <cell r="Q32">
            <v>3.6989385806678765E-2</v>
          </cell>
          <cell r="R32">
            <v>2.6213078320231453E-2</v>
          </cell>
          <cell r="S32">
            <v>5.5036986720691239E-3</v>
          </cell>
          <cell r="T32">
            <v>2.3832483871389032E-2</v>
          </cell>
          <cell r="U32">
            <v>2.4621206681783692E-2</v>
          </cell>
          <cell r="V32">
            <v>2.4677139042419194E-2</v>
          </cell>
          <cell r="W32">
            <v>2.452972805749809E-2</v>
          </cell>
          <cell r="X32">
            <v>2.446286612658688E-2</v>
          </cell>
          <cell r="Y32">
            <v>2.1829191071554677E-2</v>
          </cell>
          <cell r="Z32">
            <v>2.7612432888975746E-2</v>
          </cell>
          <cell r="AA32">
            <v>2.8368638800270185E-2</v>
          </cell>
          <cell r="AB32">
            <v>2.6732267551413003E-2</v>
          </cell>
          <cell r="AC32">
            <v>2.6912290616283752E-2</v>
          </cell>
          <cell r="AD32">
            <v>2.7060063304376714E-2</v>
          </cell>
          <cell r="AE32">
            <v>-0.19265122969395099</v>
          </cell>
          <cell r="AF32">
            <v>3.1843889408309289E-2</v>
          </cell>
          <cell r="AG32">
            <v>3.2026028968266562E-2</v>
          </cell>
          <cell r="AH32">
            <v>3.2145860861321429E-2</v>
          </cell>
          <cell r="AI32">
            <v>3.2078121430897832E-2</v>
          </cell>
          <cell r="AJ32">
            <v>3.2194700593811243E-2</v>
          </cell>
          <cell r="AK32">
            <v>3.2379620870481851E-2</v>
          </cell>
          <cell r="AL32">
            <v>-0.12227649982641586</v>
          </cell>
        </row>
        <row r="35">
          <cell r="C35" t="str">
            <v>INCOME STATEMENT</v>
          </cell>
        </row>
        <row r="39">
          <cell r="D39" t="str">
            <v>Income statement - RON</v>
          </cell>
        </row>
        <row r="40">
          <cell r="C40">
            <v>109</v>
          </cell>
          <cell r="D40" t="str">
            <v>Operating revenues - user fees</v>
          </cell>
          <cell r="E40" t="str">
            <v>Th RON</v>
          </cell>
          <cell r="F40">
            <v>13320.751490046623</v>
          </cell>
          <cell r="G40">
            <v>21737.784013069184</v>
          </cell>
          <cell r="H40">
            <v>33791.1797139259</v>
          </cell>
          <cell r="I40">
            <v>49482.372170392875</v>
          </cell>
          <cell r="J40">
            <v>63017.297847116366</v>
          </cell>
          <cell r="K40">
            <v>67128.369480237161</v>
          </cell>
          <cell r="L40">
            <v>78536.48470858745</v>
          </cell>
          <cell r="M40">
            <v>81182.354290069474</v>
          </cell>
          <cell r="N40">
            <v>83504.079496632519</v>
          </cell>
          <cell r="O40">
            <v>85589.525226638507</v>
          </cell>
          <cell r="P40">
            <v>87669.336662586109</v>
          </cell>
          <cell r="Q40">
            <v>90951.407200323476</v>
          </cell>
          <cell r="R40">
            <v>93245.791569966183</v>
          </cell>
          <cell r="S40">
            <v>93721.952607190207</v>
          </cell>
          <cell r="T40">
            <v>95967.283888145947</v>
          </cell>
          <cell r="U40">
            <v>98345.964398907789</v>
          </cell>
          <cell r="V40">
            <v>100789.40134975196</v>
          </cell>
          <cell r="W40">
            <v>103279.46826318791</v>
          </cell>
          <cell r="X40">
            <v>105824.73410807387</v>
          </cell>
          <cell r="Y40">
            <v>108156.87571845723</v>
          </cell>
          <cell r="Z40">
            <v>111160.79393680701</v>
          </cell>
          <cell r="AA40">
            <v>114334.77073976894</v>
          </cell>
          <cell r="AB40">
            <v>117407.17772806771</v>
          </cell>
          <cell r="AC40">
            <v>120583.63400503906</v>
          </cell>
          <cell r="AD40">
            <v>123863.63898747729</v>
          </cell>
          <cell r="AE40">
            <v>102677.92004955909</v>
          </cell>
          <cell r="AF40">
            <v>105947.58438029248</v>
          </cell>
          <cell r="AG40">
            <v>109340.66478677359</v>
          </cell>
          <cell r="AH40">
            <v>112855.5145834936</v>
          </cell>
          <cell r="AI40">
            <v>116475.70748444938</v>
          </cell>
          <cell r="AJ40">
            <v>120225.60801336356</v>
          </cell>
          <cell r="AK40">
            <v>124118.46761975942</v>
          </cell>
          <cell r="AL40">
            <v>108941.69583539691</v>
          </cell>
        </row>
        <row r="41">
          <cell r="C41">
            <v>110</v>
          </cell>
          <cell r="D41" t="str">
            <v>Sale of recyclables and compost</v>
          </cell>
          <cell r="E41" t="str">
            <v>Th RON</v>
          </cell>
          <cell r="F41">
            <v>97.902808192538345</v>
          </cell>
          <cell r="G41">
            <v>109.91682437650057</v>
          </cell>
          <cell r="H41">
            <v>126.45227652452797</v>
          </cell>
          <cell r="I41">
            <v>199.21449607334409</v>
          </cell>
          <cell r="J41">
            <v>1924.7769358571265</v>
          </cell>
          <cell r="K41">
            <v>2007.3629543277355</v>
          </cell>
          <cell r="L41">
            <v>2178.4285826261685</v>
          </cell>
          <cell r="M41">
            <v>2250.6869588348309</v>
          </cell>
          <cell r="N41">
            <v>2316.0150525227373</v>
          </cell>
          <cell r="O41">
            <v>2370.6230493723856</v>
          </cell>
          <cell r="P41">
            <v>2420.8286907792212</v>
          </cell>
          <cell r="Q41">
            <v>2471.1380366849899</v>
          </cell>
          <cell r="R41">
            <v>2625.6461622153483</v>
          </cell>
          <cell r="S41">
            <v>2677.1326295272843</v>
          </cell>
          <cell r="T41">
            <v>2729.230992692259</v>
          </cell>
          <cell r="U41">
            <v>2780.5777735832667</v>
          </cell>
          <cell r="V41">
            <v>2832.6545648087304</v>
          </cell>
          <cell r="W41">
            <v>2884.4085037158093</v>
          </cell>
          <cell r="X41">
            <v>2936.2153636580856</v>
          </cell>
          <cell r="Y41">
            <v>2978.2373004168671</v>
          </cell>
          <cell r="Z41">
            <v>3043.0299319094925</v>
          </cell>
          <cell r="AA41">
            <v>3108.8601578888597</v>
          </cell>
          <cell r="AB41">
            <v>3175.9877329556743</v>
          </cell>
          <cell r="AC41">
            <v>3244.7006483028172</v>
          </cell>
          <cell r="AD41">
            <v>3315.4982404595798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C42">
            <v>111</v>
          </cell>
          <cell r="D42" t="str">
            <v>Sale of energy</v>
          </cell>
          <cell r="E42" t="str">
            <v>Th RON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C43">
            <v>112</v>
          </cell>
          <cell r="D43" t="str">
            <v>Other revenues</v>
          </cell>
          <cell r="E43" t="str">
            <v>Th RON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C44">
            <v>113</v>
          </cell>
          <cell r="D44" t="str">
            <v>TOTAL REVENUES</v>
          </cell>
          <cell r="E44" t="str">
            <v>Th RON</v>
          </cell>
          <cell r="F44">
            <v>13418.654298239162</v>
          </cell>
          <cell r="G44">
            <v>21847.700837445685</v>
          </cell>
          <cell r="H44">
            <v>33917.631990450427</v>
          </cell>
          <cell r="I44">
            <v>49681.586666466217</v>
          </cell>
          <cell r="J44">
            <v>64942.07478297349</v>
          </cell>
          <cell r="K44">
            <v>69135.732434564896</v>
          </cell>
          <cell r="L44">
            <v>80714.913291213612</v>
          </cell>
          <cell r="M44">
            <v>83433.041248904308</v>
          </cell>
          <cell r="N44">
            <v>85820.094549155256</v>
          </cell>
          <cell r="O44">
            <v>87960.148276010892</v>
          </cell>
          <cell r="P44">
            <v>90090.16535336533</v>
          </cell>
          <cell r="Q44">
            <v>93422.545237008468</v>
          </cell>
          <cell r="R44">
            <v>95871.437732181526</v>
          </cell>
          <cell r="S44">
            <v>96399.085236717496</v>
          </cell>
          <cell r="T44">
            <v>98696.514880838207</v>
          </cell>
          <cell r="U44">
            <v>101126.54217249106</v>
          </cell>
          <cell r="V44">
            <v>103622.0559145607</v>
          </cell>
          <cell r="W44">
            <v>106163.87676690372</v>
          </cell>
          <cell r="X44">
            <v>108760.94947173196</v>
          </cell>
          <cell r="Y44">
            <v>111135.11301887409</v>
          </cell>
          <cell r="Z44">
            <v>114203.8238687165</v>
          </cell>
          <cell r="AA44">
            <v>117443.6308976578</v>
          </cell>
          <cell r="AB44">
            <v>120583.16546102338</v>
          </cell>
          <cell r="AC44">
            <v>123828.33465334188</v>
          </cell>
          <cell r="AD44">
            <v>127179.13722793687</v>
          </cell>
          <cell r="AE44">
            <v>102677.92004955909</v>
          </cell>
          <cell r="AF44">
            <v>105947.58438029248</v>
          </cell>
          <cell r="AG44">
            <v>109340.66478677359</v>
          </cell>
          <cell r="AH44">
            <v>112855.5145834936</v>
          </cell>
          <cell r="AI44">
            <v>116475.70748444938</v>
          </cell>
          <cell r="AJ44">
            <v>120225.60801336356</v>
          </cell>
          <cell r="AK44">
            <v>124118.46761975942</v>
          </cell>
          <cell r="AL44">
            <v>108941.69583539691</v>
          </cell>
        </row>
        <row r="45">
          <cell r="C45">
            <v>114</v>
          </cell>
          <cell r="D45" t="str">
            <v>Operating costs - collection (including transfer stations)</v>
          </cell>
          <cell r="E45" t="str">
            <v>Th RON</v>
          </cell>
          <cell r="F45">
            <v>-3872.3362569869728</v>
          </cell>
          <cell r="G45">
            <v>-7400.4073611166496</v>
          </cell>
          <cell r="H45">
            <v>-13229.582529427455</v>
          </cell>
          <cell r="I45">
            <v>-17658.921120470128</v>
          </cell>
          <cell r="J45">
            <v>-28531.854785150419</v>
          </cell>
          <cell r="K45">
            <v>-29795.408796667791</v>
          </cell>
          <cell r="L45">
            <v>-30915.517364043259</v>
          </cell>
          <cell r="M45">
            <v>-31854.511431580628</v>
          </cell>
          <cell r="N45">
            <v>-32686.716177283721</v>
          </cell>
          <cell r="O45">
            <v>-33331.651607269203</v>
          </cell>
          <cell r="P45">
            <v>-33981.287629522529</v>
          </cell>
          <cell r="Q45">
            <v>-34632.514254485977</v>
          </cell>
          <cell r="R45">
            <v>-35315.771355734818</v>
          </cell>
          <cell r="S45">
            <v>-35964.515370975088</v>
          </cell>
          <cell r="T45">
            <v>-36619.918205981972</v>
          </cell>
          <cell r="U45">
            <v>-37269.469238672391</v>
          </cell>
          <cell r="V45">
            <v>-37927.472859429326</v>
          </cell>
          <cell r="W45">
            <v>-38582.830247338658</v>
          </cell>
          <cell r="X45">
            <v>-39240.906116778802</v>
          </cell>
          <cell r="Y45">
            <v>-39798.905948763648</v>
          </cell>
          <cell r="Z45">
            <v>-40590.435531732488</v>
          </cell>
          <cell r="AA45">
            <v>-41391.760606628646</v>
          </cell>
          <cell r="AB45">
            <v>-42207.12271318541</v>
          </cell>
          <cell r="AC45">
            <v>-43040.226675092737</v>
          </cell>
          <cell r="AD45">
            <v>-43893.82496052498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C46">
            <v>115</v>
          </cell>
          <cell r="D46" t="str">
            <v>Operating costs - sorting/treatment</v>
          </cell>
          <cell r="E46" t="str">
            <v>Th RON</v>
          </cell>
          <cell r="F46">
            <v>-1843.5983018178372</v>
          </cell>
          <cell r="G46">
            <v>-2074.3406003692762</v>
          </cell>
          <cell r="H46">
            <v>-2305.1168362441877</v>
          </cell>
          <cell r="I46">
            <v>-4384.7656192847289</v>
          </cell>
          <cell r="J46">
            <v>-8598.1801349828347</v>
          </cell>
          <cell r="K46">
            <v>-9029.1103804142131</v>
          </cell>
          <cell r="L46">
            <v>-9472.8282481820024</v>
          </cell>
          <cell r="M46">
            <v>-9790.8084603677671</v>
          </cell>
          <cell r="N46">
            <v>-10073.053129241616</v>
          </cell>
          <cell r="O46">
            <v>-18305.384017634358</v>
          </cell>
          <cell r="P46">
            <v>-18688.35352039148</v>
          </cell>
          <cell r="Q46">
            <v>-19077.465873808258</v>
          </cell>
          <cell r="R46">
            <v>-19601.351403414479</v>
          </cell>
          <cell r="S46">
            <v>-20003.56555015354</v>
          </cell>
          <cell r="T46">
            <v>-20413.212943949424</v>
          </cell>
          <cell r="U46">
            <v>-20827.985521652743</v>
          </cell>
          <cell r="V46">
            <v>-21250.833526905146</v>
          </cell>
          <cell r="W46">
            <v>-21679.77810598605</v>
          </cell>
          <cell r="X46">
            <v>-22115.92467235195</v>
          </cell>
          <cell r="Y46">
            <v>-22539.781770846472</v>
          </cell>
          <cell r="Z46">
            <v>-23015.370603326315</v>
          </cell>
          <cell r="AA46">
            <v>-23500.566215572078</v>
          </cell>
          <cell r="AB46">
            <v>-23995.825916588648</v>
          </cell>
          <cell r="AC46">
            <v>-24502.049230377284</v>
          </cell>
          <cell r="AD46">
            <v>-25020.046241557768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116</v>
          </cell>
          <cell r="D47" t="str">
            <v>Operating costs - incineration</v>
          </cell>
          <cell r="E47" t="str">
            <v>Th RON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117</v>
          </cell>
          <cell r="D48" t="str">
            <v>Operating costs - landfilling</v>
          </cell>
          <cell r="E48" t="str">
            <v>Th RON</v>
          </cell>
          <cell r="F48">
            <v>-1540.9745832311103</v>
          </cell>
          <cell r="G48">
            <v>-1861.7822261269889</v>
          </cell>
          <cell r="H48">
            <v>-2093.16508623155</v>
          </cell>
          <cell r="I48">
            <v>-2247.4276906672767</v>
          </cell>
          <cell r="J48">
            <v>-7220.6488133387011</v>
          </cell>
          <cell r="K48">
            <v>-7466.1169410734456</v>
          </cell>
          <cell r="L48">
            <v>-7571.3387195927335</v>
          </cell>
          <cell r="M48">
            <v>-7790.2130075836212</v>
          </cell>
          <cell r="N48">
            <v>-8107.7380624628177</v>
          </cell>
          <cell r="O48">
            <v>-7762.5747490557178</v>
          </cell>
          <cell r="P48">
            <v>-7916.2088683054144</v>
          </cell>
          <cell r="Q48">
            <v>-5891.208864401814</v>
          </cell>
          <cell r="R48">
            <v>-5984.0657985380749</v>
          </cell>
          <cell r="S48">
            <v>-6098.0952543796566</v>
          </cell>
          <cell r="T48">
            <v>-6213.6723093498522</v>
          </cell>
          <cell r="U48">
            <v>-6329.5796151109716</v>
          </cell>
          <cell r="V48">
            <v>-6447.3929745568212</v>
          </cell>
          <cell r="W48">
            <v>-6565.8050430232315</v>
          </cell>
          <cell r="X48">
            <v>-6685.6838115489227</v>
          </cell>
          <cell r="Y48">
            <v>-6794.8762203513943</v>
          </cell>
          <cell r="Z48">
            <v>-6932.0038477544058</v>
          </cell>
          <cell r="AA48">
            <v>-7071.1488055397949</v>
          </cell>
          <cell r="AB48">
            <v>-7212.953596056369</v>
          </cell>
          <cell r="AC48">
            <v>-7357.9932701419721</v>
          </cell>
          <cell r="AD48">
            <v>-7506.2848490972528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118</v>
          </cell>
          <cell r="D49" t="str">
            <v>Other operating costs</v>
          </cell>
          <cell r="E49" t="str">
            <v>Th RON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119</v>
          </cell>
          <cell r="D50" t="str">
            <v>TOTAL O&amp;M COSTS</v>
          </cell>
          <cell r="E50" t="str">
            <v>Th RON</v>
          </cell>
          <cell r="F50">
            <v>-7256.90914203592</v>
          </cell>
          <cell r="G50">
            <v>-11336.530187612914</v>
          </cell>
          <cell r="H50">
            <v>-17627.864451903191</v>
          </cell>
          <cell r="I50">
            <v>-24291.114430422131</v>
          </cell>
          <cell r="J50">
            <v>-44350.68373347196</v>
          </cell>
          <cell r="K50">
            <v>-46290.636118155446</v>
          </cell>
          <cell r="L50">
            <v>-47959.684331817996</v>
          </cell>
          <cell r="M50">
            <v>-49435.532899532016</v>
          </cell>
          <cell r="N50">
            <v>-50867.507368988161</v>
          </cell>
          <cell r="O50">
            <v>-59399.61037395928</v>
          </cell>
          <cell r="P50">
            <v>-60585.850018219426</v>
          </cell>
          <cell r="Q50">
            <v>-59601.18899269605</v>
          </cell>
          <cell r="R50">
            <v>-60901.188557687368</v>
          </cell>
          <cell r="S50">
            <v>-62066.176175508284</v>
          </cell>
          <cell r="T50">
            <v>-63246.803459281247</v>
          </cell>
          <cell r="U50">
            <v>-64427.034375436109</v>
          </cell>
          <cell r="V50">
            <v>-65625.699360891289</v>
          </cell>
          <cell r="W50">
            <v>-66828.41339634794</v>
          </cell>
          <cell r="X50">
            <v>-68042.514600679671</v>
          </cell>
          <cell r="Y50">
            <v>-69133.563939961517</v>
          </cell>
          <cell r="Z50">
            <v>-70537.809982813211</v>
          </cell>
          <cell r="AA50">
            <v>-71963.475627740525</v>
          </cell>
          <cell r="AB50">
            <v>-73415.902225830432</v>
          </cell>
          <cell r="AC50">
            <v>-74900.269175611989</v>
          </cell>
          <cell r="AD50">
            <v>-76420.156051180005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120</v>
          </cell>
          <cell r="D51" t="str">
            <v>EBITDA</v>
          </cell>
          <cell r="E51" t="str">
            <v>Th RON</v>
          </cell>
          <cell r="F51">
            <v>6161.745156203242</v>
          </cell>
          <cell r="G51">
            <v>10511.170649832771</v>
          </cell>
          <cell r="H51">
            <v>16289.767538547236</v>
          </cell>
          <cell r="I51">
            <v>25390.472236044086</v>
          </cell>
          <cell r="J51">
            <v>20591.39104950153</v>
          </cell>
          <cell r="K51">
            <v>22845.09631640945</v>
          </cell>
          <cell r="L51">
            <v>32755.228959395616</v>
          </cell>
          <cell r="M51">
            <v>33997.508349372292</v>
          </cell>
          <cell r="N51">
            <v>34952.587180167095</v>
          </cell>
          <cell r="O51">
            <v>28560.537902051612</v>
          </cell>
          <cell r="P51">
            <v>29504.315335145904</v>
          </cell>
          <cell r="Q51">
            <v>33821.356244312417</v>
          </cell>
          <cell r="R51">
            <v>34970.249174494158</v>
          </cell>
          <cell r="S51">
            <v>34332.909061209211</v>
          </cell>
          <cell r="T51">
            <v>35449.71142155696</v>
          </cell>
          <cell r="U51">
            <v>36699.507797054946</v>
          </cell>
          <cell r="V51">
            <v>37996.356553669408</v>
          </cell>
          <cell r="W51">
            <v>39335.463370555779</v>
          </cell>
          <cell r="X51">
            <v>40718.43487105229</v>
          </cell>
          <cell r="Y51">
            <v>42001.549078912576</v>
          </cell>
          <cell r="Z51">
            <v>43666.013885903289</v>
          </cell>
          <cell r="AA51">
            <v>45480.155269917275</v>
          </cell>
          <cell r="AB51">
            <v>47167.26323519295</v>
          </cell>
          <cell r="AC51">
            <v>48928.065477729891</v>
          </cell>
          <cell r="AD51">
            <v>50758.981176756861</v>
          </cell>
          <cell r="AE51">
            <v>102677.92004955909</v>
          </cell>
          <cell r="AF51">
            <v>105947.58438029248</v>
          </cell>
          <cell r="AG51">
            <v>109340.66478677359</v>
          </cell>
          <cell r="AH51">
            <v>112855.5145834936</v>
          </cell>
          <cell r="AI51">
            <v>116475.70748444938</v>
          </cell>
          <cell r="AJ51">
            <v>120225.60801336356</v>
          </cell>
          <cell r="AK51">
            <v>124118.46761975942</v>
          </cell>
          <cell r="AL51">
            <v>108941.69583539691</v>
          </cell>
        </row>
        <row r="52">
          <cell r="C52">
            <v>121</v>
          </cell>
          <cell r="D52" t="str">
            <v>Depreciation</v>
          </cell>
          <cell r="E52" t="str">
            <v>Th RON</v>
          </cell>
          <cell r="F52">
            <v>0</v>
          </cell>
          <cell r="G52">
            <v>0</v>
          </cell>
          <cell r="H52">
            <v>0</v>
          </cell>
          <cell r="I52">
            <v>-3947.2000000000007</v>
          </cell>
          <cell r="J52">
            <v>-13211.643831640653</v>
          </cell>
          <cell r="K52">
            <v>-13211.643831640657</v>
          </cell>
          <cell r="L52">
            <v>-13211.643831640653</v>
          </cell>
          <cell r="M52">
            <v>-13322.898810049179</v>
          </cell>
          <cell r="N52">
            <v>-13322.898810049175</v>
          </cell>
          <cell r="O52">
            <v>-15486.766821577288</v>
          </cell>
          <cell r="P52">
            <v>-15486.766821577286</v>
          </cell>
          <cell r="Q52">
            <v>-15533.58737504405</v>
          </cell>
          <cell r="R52">
            <v>-17061.942898434238</v>
          </cell>
          <cell r="S52">
            <v>-17061.94289843423</v>
          </cell>
          <cell r="T52">
            <v>-9771.1391357672837</v>
          </cell>
          <cell r="U52">
            <v>-9771.1391357673056</v>
          </cell>
          <cell r="V52">
            <v>-9771.1391357672692</v>
          </cell>
          <cell r="W52">
            <v>-9923.4631626393311</v>
          </cell>
          <cell r="X52">
            <v>-9923.4631626393602</v>
          </cell>
          <cell r="Y52">
            <v>-12421.776103369113</v>
          </cell>
          <cell r="Z52">
            <v>-14165.859110266749</v>
          </cell>
          <cell r="AA52">
            <v>-14165.859110266741</v>
          </cell>
          <cell r="AB52">
            <v>-14214.37200467127</v>
          </cell>
          <cell r="AC52">
            <v>-11803.172004671331</v>
          </cell>
          <cell r="AD52">
            <v>-12768.941218280015</v>
          </cell>
          <cell r="AE52">
            <v>-12895.930821671558</v>
          </cell>
          <cell r="AF52">
            <v>-5198.3106983066245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C53">
            <v>122</v>
          </cell>
          <cell r="D53" t="str">
            <v>Write-off of bad debts</v>
          </cell>
          <cell r="E53" t="str">
            <v>Th RON</v>
          </cell>
          <cell r="I53">
            <v>-1800</v>
          </cell>
          <cell r="J53">
            <v>-1200</v>
          </cell>
          <cell r="K53">
            <v>-700</v>
          </cell>
          <cell r="L53">
            <v>-993.63173332932524</v>
          </cell>
          <cell r="M53">
            <v>-1298.8414956594709</v>
          </cell>
          <cell r="N53">
            <v>-1382.7146486912991</v>
          </cell>
          <cell r="O53">
            <v>-1614.2982658242736</v>
          </cell>
          <cell r="P53">
            <v>-1668.6608249780877</v>
          </cell>
          <cell r="Q53">
            <v>-1716.4018909831066</v>
          </cell>
          <cell r="R53">
            <v>-1759.2029655202193</v>
          </cell>
          <cell r="S53">
            <v>-1801.8033070673082</v>
          </cell>
          <cell r="T53">
            <v>-1868.4509047401709</v>
          </cell>
          <cell r="U53">
            <v>-1917.4287546436321</v>
          </cell>
          <cell r="V53">
            <v>-1927.9817047343515</v>
          </cell>
          <cell r="W53">
            <v>-1973.930297616766</v>
          </cell>
          <cell r="X53">
            <v>-2022.5308434498229</v>
          </cell>
          <cell r="Y53">
            <v>-2072.4411182912158</v>
          </cell>
          <cell r="Z53">
            <v>-2123.2775353380762</v>
          </cell>
          <cell r="AA53">
            <v>-2175.2189894346411</v>
          </cell>
          <cell r="AB53">
            <v>-2222.702260377484</v>
          </cell>
          <cell r="AC53">
            <v>-2284.0764773743322</v>
          </cell>
          <cell r="AD53">
            <v>-2348.8726179531582</v>
          </cell>
          <cell r="AE53">
            <v>-2411.6633092204697</v>
          </cell>
          <cell r="AF53">
            <v>-2476.5666930668399</v>
          </cell>
          <cell r="AG53">
            <v>-2543.5827445587397</v>
          </cell>
          <cell r="AH53">
            <v>-2053.5584009911836</v>
          </cell>
          <cell r="AI53">
            <v>-2118.9516876058515</v>
          </cell>
          <cell r="AJ53">
            <v>-2186.8132957354737</v>
          </cell>
          <cell r="AK53">
            <v>-2257.1102916698737</v>
          </cell>
          <cell r="AL53">
            <v>-2329.5141496889896</v>
          </cell>
        </row>
        <row r="54">
          <cell r="C54">
            <v>123</v>
          </cell>
          <cell r="D54" t="str">
            <v>Current portion of investment grants</v>
          </cell>
          <cell r="E54" t="str">
            <v>Th RON</v>
          </cell>
          <cell r="I54">
            <v>18</v>
          </cell>
          <cell r="J54">
            <v>6534.2726735225588</v>
          </cell>
          <cell r="K54">
            <v>6534.2726735225588</v>
          </cell>
          <cell r="L54">
            <v>6534.2726735225588</v>
          </cell>
          <cell r="M54">
            <v>6534.2726735225588</v>
          </cell>
          <cell r="N54">
            <v>6534.2726735225588</v>
          </cell>
          <cell r="O54">
            <v>6534.2726735225588</v>
          </cell>
          <cell r="P54">
            <v>6534.2726735225588</v>
          </cell>
          <cell r="Q54">
            <v>6534.2726735225588</v>
          </cell>
          <cell r="R54">
            <v>6534.2726735225588</v>
          </cell>
          <cell r="S54">
            <v>6516.2726735225588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C55">
            <v>124</v>
          </cell>
          <cell r="D55" t="str">
            <v>EBIT</v>
          </cell>
          <cell r="E55" t="str">
            <v>Th RON</v>
          </cell>
          <cell r="F55">
            <v>6161.745156203242</v>
          </cell>
          <cell r="G55">
            <v>10511.170649832771</v>
          </cell>
          <cell r="H55">
            <v>16289.767538547236</v>
          </cell>
          <cell r="I55">
            <v>19661.272236044086</v>
          </cell>
          <cell r="J55">
            <v>12714.019891383436</v>
          </cell>
          <cell r="K55">
            <v>15467.725158291352</v>
          </cell>
          <cell r="L55">
            <v>25084.226067948195</v>
          </cell>
          <cell r="M55">
            <v>25910.040717186203</v>
          </cell>
          <cell r="N55">
            <v>26781.246394949176</v>
          </cell>
          <cell r="O55">
            <v>17993.745488172608</v>
          </cell>
          <cell r="P55">
            <v>18883.160362113089</v>
          </cell>
          <cell r="Q55">
            <v>23105.639651807818</v>
          </cell>
          <cell r="R55">
            <v>22683.375984062259</v>
          </cell>
          <cell r="S55">
            <v>21985.435529230232</v>
          </cell>
          <cell r="T55">
            <v>23810.121381049506</v>
          </cell>
          <cell r="U55">
            <v>25010.939906644009</v>
          </cell>
          <cell r="V55">
            <v>26297.235713167785</v>
          </cell>
          <cell r="W55">
            <v>27438.06991029968</v>
          </cell>
          <cell r="X55">
            <v>28772.440864963108</v>
          </cell>
          <cell r="Y55">
            <v>27507.331857252248</v>
          </cell>
          <cell r="Z55">
            <v>27376.877240298465</v>
          </cell>
          <cell r="AA55">
            <v>29139.077170215893</v>
          </cell>
          <cell r="AB55">
            <v>30730.188970144198</v>
          </cell>
          <cell r="AC55">
            <v>34840.816995684232</v>
          </cell>
          <cell r="AD55">
            <v>35641.167340523687</v>
          </cell>
          <cell r="AE55">
            <v>87370.325918667062</v>
          </cell>
          <cell r="AF55">
            <v>98272.706988919017</v>
          </cell>
          <cell r="AG55">
            <v>106797.08204221485</v>
          </cell>
          <cell r="AH55">
            <v>110801.95618250241</v>
          </cell>
          <cell r="AI55">
            <v>114356.75579684353</v>
          </cell>
          <cell r="AJ55">
            <v>118038.79471762809</v>
          </cell>
          <cell r="AK55">
            <v>121861.35732808955</v>
          </cell>
          <cell r="AL55">
            <v>106612.18168570792</v>
          </cell>
        </row>
        <row r="56">
          <cell r="C56">
            <v>125</v>
          </cell>
          <cell r="D56" t="str">
            <v>Interests</v>
          </cell>
          <cell r="E56" t="str">
            <v>Th RON</v>
          </cell>
          <cell r="F56">
            <v>0</v>
          </cell>
          <cell r="G56">
            <v>0</v>
          </cell>
          <cell r="H56">
            <v>0</v>
          </cell>
          <cell r="I56">
            <v>-201.12979932753905</v>
          </cell>
          <cell r="J56">
            <v>-482.65298243212573</v>
          </cell>
          <cell r="K56">
            <v>-488.33125281368018</v>
          </cell>
          <cell r="L56">
            <v>-492.16130185535604</v>
          </cell>
          <cell r="M56">
            <v>-494.57385725660771</v>
          </cell>
          <cell r="N56">
            <v>-496.02848624853891</v>
          </cell>
          <cell r="O56">
            <v>-473.89291862068791</v>
          </cell>
          <cell r="P56">
            <v>-450.53989477330515</v>
          </cell>
          <cell r="Q56">
            <v>-425.90245461431635</v>
          </cell>
          <cell r="R56">
            <v>-399.90995524658319</v>
          </cell>
          <cell r="S56">
            <v>-372.48786841362465</v>
          </cell>
          <cell r="T56">
            <v>-343.55756680485337</v>
          </cell>
          <cell r="U56">
            <v>-313.0360986075998</v>
          </cell>
          <cell r="V56">
            <v>-280.8359496594972</v>
          </cell>
          <cell r="W56">
            <v>-246.86479251924891</v>
          </cell>
          <cell r="X56">
            <v>-211.02522173628708</v>
          </cell>
          <cell r="Y56">
            <v>-173.21447456026226</v>
          </cell>
          <cell r="Z56">
            <v>-133.32413628955609</v>
          </cell>
          <cell r="AA56">
            <v>-91.23982941396109</v>
          </cell>
          <cell r="AB56">
            <v>-46.840885660208386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C57">
            <v>126</v>
          </cell>
          <cell r="D57" t="str">
            <v>Foreign exchange correction</v>
          </cell>
          <cell r="E57" t="str">
            <v>Th RON</v>
          </cell>
          <cell r="I57">
            <v>0</v>
          </cell>
          <cell r="J57">
            <v>-135.52909299603434</v>
          </cell>
          <cell r="K57">
            <v>-103.24127966462528</v>
          </cell>
          <cell r="L57">
            <v>-69.637255303198003</v>
          </cell>
          <cell r="M57">
            <v>-43.864643659121711</v>
          </cell>
          <cell r="N57">
            <v>-26.447799853293454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1.40353394446287E-12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-7.9514284077513117E-13</v>
          </cell>
          <cell r="Y57">
            <v>6.5267198030639515E-13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127</v>
          </cell>
          <cell r="D58" t="str">
            <v>EBT</v>
          </cell>
          <cell r="E58" t="str">
            <v>Th RON</v>
          </cell>
          <cell r="F58">
            <v>6161.745156203242</v>
          </cell>
          <cell r="G58">
            <v>10511.170649832771</v>
          </cell>
          <cell r="H58">
            <v>16289.767538547236</v>
          </cell>
          <cell r="I58">
            <v>19460.142436716545</v>
          </cell>
          <cell r="J58">
            <v>12095.837815955276</v>
          </cell>
          <cell r="K58">
            <v>14876.152625813047</v>
          </cell>
          <cell r="L58">
            <v>24522.427510789643</v>
          </cell>
          <cell r="M58">
            <v>25371.602216270472</v>
          </cell>
          <cell r="N58">
            <v>26258.770108847344</v>
          </cell>
          <cell r="O58">
            <v>17519.85256955192</v>
          </cell>
          <cell r="P58">
            <v>18432.620467339784</v>
          </cell>
          <cell r="Q58">
            <v>22679.737197193503</v>
          </cell>
          <cell r="R58">
            <v>22283.466028815674</v>
          </cell>
          <cell r="S58">
            <v>21612.947660816608</v>
          </cell>
          <cell r="T58">
            <v>23466.563814244651</v>
          </cell>
          <cell r="U58">
            <v>24697.903808036408</v>
          </cell>
          <cell r="V58">
            <v>26016.399763508289</v>
          </cell>
          <cell r="W58">
            <v>27191.205117780431</v>
          </cell>
          <cell r="X58">
            <v>28561.415643226821</v>
          </cell>
          <cell r="Y58">
            <v>27334.117382691984</v>
          </cell>
          <cell r="Z58">
            <v>27243.553104008908</v>
          </cell>
          <cell r="AA58">
            <v>29047.837340801932</v>
          </cell>
          <cell r="AB58">
            <v>30683.348084483991</v>
          </cell>
          <cell r="AC58">
            <v>34840.816995684232</v>
          </cell>
          <cell r="AD58">
            <v>35641.167340523687</v>
          </cell>
          <cell r="AE58">
            <v>87370.325918667062</v>
          </cell>
          <cell r="AF58">
            <v>98272.706988919017</v>
          </cell>
          <cell r="AG58">
            <v>106797.08204221485</v>
          </cell>
          <cell r="AH58">
            <v>110801.95618250241</v>
          </cell>
          <cell r="AI58">
            <v>114356.75579684353</v>
          </cell>
          <cell r="AJ58">
            <v>118038.79471762809</v>
          </cell>
          <cell r="AK58">
            <v>121861.35732808955</v>
          </cell>
          <cell r="AL58">
            <v>106612.18168570792</v>
          </cell>
        </row>
        <row r="59">
          <cell r="C59">
            <v>128</v>
          </cell>
          <cell r="D59" t="str">
            <v>Income tax</v>
          </cell>
          <cell r="E59" t="str">
            <v>Th RON</v>
          </cell>
          <cell r="F59">
            <v>0</v>
          </cell>
          <cell r="G59">
            <v>0</v>
          </cell>
          <cell r="H59">
            <v>0</v>
          </cell>
          <cell r="I59">
            <v>-3113.6227898746474</v>
          </cell>
          <cell r="J59">
            <v>-1935.3340505528442</v>
          </cell>
          <cell r="K59">
            <v>-2380.1844201300878</v>
          </cell>
          <cell r="L59">
            <v>-3923.5884017263429</v>
          </cell>
          <cell r="M59">
            <v>-4059.4563546032755</v>
          </cell>
          <cell r="N59">
            <v>-4201.4032174155755</v>
          </cell>
          <cell r="O59">
            <v>-2803.1764111283073</v>
          </cell>
          <cell r="P59">
            <v>-2949.2192747743657</v>
          </cell>
          <cell r="Q59">
            <v>-3628.7579515509606</v>
          </cell>
          <cell r="R59">
            <v>-3565.3545646105081</v>
          </cell>
          <cell r="S59">
            <v>-3458.0716257306572</v>
          </cell>
          <cell r="T59">
            <v>-3754.6502102791442</v>
          </cell>
          <cell r="U59">
            <v>-3951.6646092858255</v>
          </cell>
          <cell r="V59">
            <v>-4162.6239621613258</v>
          </cell>
          <cell r="W59">
            <v>-4350.5928188448688</v>
          </cell>
          <cell r="X59">
            <v>-4569.8265029162912</v>
          </cell>
          <cell r="Y59">
            <v>-4373.4587812307172</v>
          </cell>
          <cell r="Z59">
            <v>-4358.9684966414252</v>
          </cell>
          <cell r="AA59">
            <v>-4647.6539745283089</v>
          </cell>
          <cell r="AB59">
            <v>-4909.3356935174388</v>
          </cell>
          <cell r="AC59">
            <v>-5574.5307193094768</v>
          </cell>
          <cell r="AD59">
            <v>-5702.5867744837897</v>
          </cell>
          <cell r="AE59">
            <v>-13979.25214698673</v>
          </cell>
          <cell r="AF59">
            <v>-15723.633118227042</v>
          </cell>
          <cell r="AG59">
            <v>-17087.533126754377</v>
          </cell>
          <cell r="AH59">
            <v>-17728.312989200385</v>
          </cell>
          <cell r="AI59">
            <v>-18297.080927494964</v>
          </cell>
          <cell r="AJ59">
            <v>-18886.207154820495</v>
          </cell>
          <cell r="AK59">
            <v>-19497.817172494328</v>
          </cell>
          <cell r="AL59">
            <v>-17057.949069713268</v>
          </cell>
        </row>
        <row r="60">
          <cell r="C60">
            <v>129</v>
          </cell>
          <cell r="D60" t="str">
            <v>NET INCOME</v>
          </cell>
          <cell r="E60" t="str">
            <v>Th RON</v>
          </cell>
          <cell r="F60">
            <v>6161.745156203242</v>
          </cell>
          <cell r="G60">
            <v>10511.170649832771</v>
          </cell>
          <cell r="H60">
            <v>16289.767538547236</v>
          </cell>
          <cell r="I60">
            <v>16346.519646841898</v>
          </cell>
          <cell r="J60">
            <v>10160.503765402431</v>
          </cell>
          <cell r="K60">
            <v>12495.968205682959</v>
          </cell>
          <cell r="L60">
            <v>20598.839109063301</v>
          </cell>
          <cell r="M60">
            <v>21312.145861667195</v>
          </cell>
          <cell r="N60">
            <v>22057.366891431768</v>
          </cell>
          <cell r="O60">
            <v>14716.676158423612</v>
          </cell>
          <cell r="P60">
            <v>15483.401192565419</v>
          </cell>
          <cell r="Q60">
            <v>19050.979245642542</v>
          </cell>
          <cell r="R60">
            <v>18718.111464205165</v>
          </cell>
          <cell r="S60">
            <v>18154.876035085952</v>
          </cell>
          <cell r="T60">
            <v>19711.913603965506</v>
          </cell>
          <cell r="U60">
            <v>20746.239198750583</v>
          </cell>
          <cell r="V60">
            <v>21853.775801346965</v>
          </cell>
          <cell r="W60">
            <v>22840.612298935564</v>
          </cell>
          <cell r="X60">
            <v>23991.589140310531</v>
          </cell>
          <cell r="Y60">
            <v>22960.658601461266</v>
          </cell>
          <cell r="Z60">
            <v>22884.584607367484</v>
          </cell>
          <cell r="AA60">
            <v>24400.183366273624</v>
          </cell>
          <cell r="AB60">
            <v>25774.012390966553</v>
          </cell>
          <cell r="AC60">
            <v>29266.286276374754</v>
          </cell>
          <cell r="AD60">
            <v>29938.580566039898</v>
          </cell>
          <cell r="AE60">
            <v>73391.073771680327</v>
          </cell>
          <cell r="AF60">
            <v>82549.07387069198</v>
          </cell>
          <cell r="AG60">
            <v>89709.548915460473</v>
          </cell>
          <cell r="AH60">
            <v>93073.643193302036</v>
          </cell>
          <cell r="AI60">
            <v>96059.674869348557</v>
          </cell>
          <cell r="AJ60">
            <v>99152.587562807588</v>
          </cell>
          <cell r="AK60">
            <v>102363.54015559523</v>
          </cell>
          <cell r="AL60">
            <v>89554.232615994653</v>
          </cell>
        </row>
        <row r="62">
          <cell r="C62">
            <v>130</v>
          </cell>
          <cell r="D62" t="str">
            <v>Income tax - Credit for previous years losses</v>
          </cell>
          <cell r="E62" t="str">
            <v>Th RON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131</v>
          </cell>
          <cell r="D63" t="str">
            <v>Dividends</v>
          </cell>
          <cell r="E63" t="str">
            <v>Th RON</v>
          </cell>
          <cell r="I63">
            <v>1634.6519646841898</v>
          </cell>
          <cell r="J63">
            <v>1016.0503765402432</v>
          </cell>
          <cell r="K63">
            <v>1249.5968205682959</v>
          </cell>
          <cell r="L63">
            <v>2059.8839109063301</v>
          </cell>
          <cell r="M63">
            <v>2131.2145861667195</v>
          </cell>
          <cell r="N63">
            <v>2205.736689143177</v>
          </cell>
          <cell r="O63">
            <v>1471.6676158423613</v>
          </cell>
          <cell r="P63">
            <v>1548.340119256542</v>
          </cell>
          <cell r="Q63">
            <v>1905.0979245642543</v>
          </cell>
          <cell r="R63">
            <v>1871.8111464205167</v>
          </cell>
          <cell r="S63">
            <v>1815.4876035085954</v>
          </cell>
          <cell r="T63">
            <v>1971.1913603965506</v>
          </cell>
          <cell r="U63">
            <v>2074.6239198750586</v>
          </cell>
          <cell r="V63">
            <v>2185.3775801346965</v>
          </cell>
          <cell r="W63">
            <v>2284.0612298935566</v>
          </cell>
          <cell r="X63">
            <v>2399.158914031053</v>
          </cell>
          <cell r="Y63">
            <v>2296.0658601461269</v>
          </cell>
          <cell r="Z63">
            <v>2288.4584607367483</v>
          </cell>
          <cell r="AA63">
            <v>2440.0183366273627</v>
          </cell>
          <cell r="AB63">
            <v>2577.4012390966554</v>
          </cell>
          <cell r="AC63">
            <v>2926.6286276374758</v>
          </cell>
          <cell r="AD63">
            <v>2993.85805660399</v>
          </cell>
          <cell r="AE63">
            <v>7339.1073771680331</v>
          </cell>
          <cell r="AF63">
            <v>8254.9073870691991</v>
          </cell>
          <cell r="AG63">
            <v>8970.9548915460473</v>
          </cell>
          <cell r="AH63">
            <v>9307.3643193302032</v>
          </cell>
          <cell r="AI63">
            <v>9605.9674869348564</v>
          </cell>
          <cell r="AJ63">
            <v>9915.2587562807603</v>
          </cell>
          <cell r="AK63">
            <v>10236.354015559524</v>
          </cell>
          <cell r="AL63">
            <v>8955.4232615994661</v>
          </cell>
        </row>
        <row r="66">
          <cell r="C66" t="str">
            <v>CASH-FLOW STATEMENT</v>
          </cell>
        </row>
        <row r="70">
          <cell r="D70" t="str">
            <v>IFI's loan - Project</v>
          </cell>
        </row>
        <row r="71">
          <cell r="C71">
            <v>132</v>
          </cell>
          <cell r="D71" t="str">
            <v>Annual disbursements</v>
          </cell>
          <cell r="E71" t="str">
            <v>Th EUR</v>
          </cell>
          <cell r="I71">
            <v>2104.3461955500002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133</v>
          </cell>
          <cell r="D72" t="str">
            <v>Total disbursements</v>
          </cell>
          <cell r="E72" t="str">
            <v>Th EUR</v>
          </cell>
          <cell r="I72">
            <v>2104.3461955500002</v>
          </cell>
          <cell r="J72">
            <v>2104.3461955500002</v>
          </cell>
          <cell r="K72">
            <v>2104.3461955500002</v>
          </cell>
          <cell r="L72">
            <v>2104.3461955500002</v>
          </cell>
          <cell r="M72">
            <v>2104.3461955500002</v>
          </cell>
          <cell r="N72">
            <v>2104.3461955500002</v>
          </cell>
          <cell r="O72">
            <v>2104.3461955500002</v>
          </cell>
          <cell r="P72">
            <v>2104.3461955500002</v>
          </cell>
          <cell r="Q72">
            <v>2104.3461955500002</v>
          </cell>
          <cell r="R72">
            <v>2104.3461955500002</v>
          </cell>
          <cell r="S72">
            <v>2104.3461955500002</v>
          </cell>
          <cell r="T72">
            <v>2104.3461955500002</v>
          </cell>
          <cell r="U72">
            <v>2104.3461955500002</v>
          </cell>
          <cell r="V72">
            <v>2104.3461955500002</v>
          </cell>
          <cell r="W72">
            <v>2104.3461955500002</v>
          </cell>
          <cell r="X72">
            <v>2104.3461955500002</v>
          </cell>
          <cell r="Y72">
            <v>2104.3461955500002</v>
          </cell>
          <cell r="Z72">
            <v>2104.3461955500002</v>
          </cell>
          <cell r="AA72">
            <v>2104.3461955500002</v>
          </cell>
          <cell r="AB72">
            <v>2104.3461955500002</v>
          </cell>
          <cell r="AC72">
            <v>2104.3461955500002</v>
          </cell>
          <cell r="AD72">
            <v>2104.3461955500002</v>
          </cell>
          <cell r="AE72">
            <v>2104.3461955500002</v>
          </cell>
          <cell r="AF72">
            <v>2104.3461955500002</v>
          </cell>
          <cell r="AG72">
            <v>2104.3461955500002</v>
          </cell>
          <cell r="AH72">
            <v>2104.3461955500002</v>
          </cell>
          <cell r="AI72">
            <v>2104.3461955500002</v>
          </cell>
          <cell r="AJ72">
            <v>2104.3461955500002</v>
          </cell>
          <cell r="AK72">
            <v>2104.3461955500002</v>
          </cell>
          <cell r="AL72">
            <v>2104.3461955500002</v>
          </cell>
        </row>
        <row r="73">
          <cell r="C73">
            <v>134</v>
          </cell>
          <cell r="D73" t="str">
            <v>Pending disbursements</v>
          </cell>
          <cell r="E73" t="str">
            <v>Th EUR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135</v>
          </cell>
          <cell r="D74" t="str">
            <v>Loan amortization</v>
          </cell>
          <cell r="E74" t="str">
            <v>Th EUR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93.907706543829732</v>
          </cell>
          <cell r="O74">
            <v>99.072630403740376</v>
          </cell>
          <cell r="P74">
            <v>104.52162507594609</v>
          </cell>
          <cell r="Q74">
            <v>110.27031445512313</v>
          </cell>
          <cell r="R74">
            <v>116.3351817501549</v>
          </cell>
          <cell r="S74">
            <v>122.73361674641342</v>
          </cell>
          <cell r="T74">
            <v>129.48396566746618</v>
          </cell>
          <cell r="U74">
            <v>136.60558377917681</v>
          </cell>
          <cell r="V74">
            <v>144.11889088703151</v>
          </cell>
          <cell r="W74">
            <v>152.04542988581827</v>
          </cell>
          <cell r="X74">
            <v>160.40792852953828</v>
          </cell>
          <cell r="Y74">
            <v>169.23036459866287</v>
          </cell>
          <cell r="Z74">
            <v>178.53803465158933</v>
          </cell>
          <cell r="AA74">
            <v>188.35762655742676</v>
          </cell>
          <cell r="AB74">
            <v>198.71729601808522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136</v>
          </cell>
          <cell r="D75" t="str">
            <v>Loan balance</v>
          </cell>
          <cell r="E75" t="str">
            <v>Th EUR</v>
          </cell>
          <cell r="I75">
            <v>2104.3461955500002</v>
          </cell>
          <cell r="J75">
            <v>2104.3461955500002</v>
          </cell>
          <cell r="K75">
            <v>2104.3461955500002</v>
          </cell>
          <cell r="L75">
            <v>2104.3461955500002</v>
          </cell>
          <cell r="M75">
            <v>2104.3461955500002</v>
          </cell>
          <cell r="N75">
            <v>2010.4384890061704</v>
          </cell>
          <cell r="O75">
            <v>1911.3658586024301</v>
          </cell>
          <cell r="P75">
            <v>1806.844233526484</v>
          </cell>
          <cell r="Q75">
            <v>1696.5739190713609</v>
          </cell>
          <cell r="R75">
            <v>1580.2387373212059</v>
          </cell>
          <cell r="S75">
            <v>1457.5051205747925</v>
          </cell>
          <cell r="T75">
            <v>1328.0211549073263</v>
          </cell>
          <cell r="U75">
            <v>1191.4155711281494</v>
          </cell>
          <cell r="V75">
            <v>1047.2966802411179</v>
          </cell>
          <cell r="W75">
            <v>895.25125035529959</v>
          </cell>
          <cell r="X75">
            <v>734.84332182576122</v>
          </cell>
          <cell r="Y75">
            <v>565.61295722709838</v>
          </cell>
          <cell r="Z75">
            <v>387.07492257550894</v>
          </cell>
          <cell r="AA75">
            <v>198.71729601808215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76">
          <cell r="C76">
            <v>137</v>
          </cell>
          <cell r="D76" t="str">
            <v>Interest</v>
          </cell>
          <cell r="E76" t="str">
            <v>Th EUR</v>
          </cell>
          <cell r="I76">
            <v>0</v>
          </cell>
          <cell r="J76">
            <v>115.73904075525002</v>
          </cell>
          <cell r="K76">
            <v>115.73904075525002</v>
          </cell>
          <cell r="L76">
            <v>115.73904075525002</v>
          </cell>
          <cell r="M76">
            <v>115.73904075525002</v>
          </cell>
          <cell r="N76">
            <v>115.73904075525002</v>
          </cell>
          <cell r="O76">
            <v>110.57411689533937</v>
          </cell>
          <cell r="P76">
            <v>105.12512222313366</v>
          </cell>
          <cell r="Q76">
            <v>99.376432843956621</v>
          </cell>
          <cell r="R76">
            <v>93.311565548924847</v>
          </cell>
          <cell r="S76">
            <v>86.913130552666331</v>
          </cell>
          <cell r="T76">
            <v>80.162781631613583</v>
          </cell>
          <cell r="U76">
            <v>73.041163519902952</v>
          </cell>
          <cell r="V76">
            <v>65.527856412048223</v>
          </cell>
          <cell r="W76">
            <v>57.601317413261484</v>
          </cell>
          <cell r="X76">
            <v>49.238818769541474</v>
          </cell>
          <cell r="Y76">
            <v>40.416382700416868</v>
          </cell>
          <cell r="Z76">
            <v>31.10871264749041</v>
          </cell>
          <cell r="AA76">
            <v>21.28912074165299</v>
          </cell>
          <cell r="AB76">
            <v>10.929451280994519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C77">
            <v>138</v>
          </cell>
          <cell r="D77" t="str">
            <v>Commitment fee</v>
          </cell>
          <cell r="E77" t="str">
            <v>Th EUR</v>
          </cell>
          <cell r="I77">
            <v>15.782596466625002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</row>
        <row r="78">
          <cell r="C78">
            <v>139</v>
          </cell>
          <cell r="D78" t="str">
            <v>Front-end fee</v>
          </cell>
          <cell r="E78" t="str">
            <v>Th EUR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80">
          <cell r="D80" t="str">
            <v>Cash-flow statement - RON</v>
          </cell>
        </row>
        <row r="81">
          <cell r="C81">
            <v>140</v>
          </cell>
          <cell r="D81" t="str">
            <v>EBITDA</v>
          </cell>
          <cell r="E81" t="str">
            <v>Th RON</v>
          </cell>
          <cell r="I81">
            <v>25390.472236044086</v>
          </cell>
          <cell r="J81">
            <v>20591.39104950153</v>
          </cell>
          <cell r="K81">
            <v>22845.09631640945</v>
          </cell>
          <cell r="L81">
            <v>32755.228959395616</v>
          </cell>
          <cell r="M81">
            <v>33997.508349372292</v>
          </cell>
          <cell r="N81">
            <v>34952.587180167095</v>
          </cell>
          <cell r="O81">
            <v>28560.537902051612</v>
          </cell>
          <cell r="P81">
            <v>29504.315335145904</v>
          </cell>
          <cell r="Q81">
            <v>33821.356244312417</v>
          </cell>
          <cell r="R81">
            <v>34970.249174494158</v>
          </cell>
          <cell r="S81">
            <v>34332.909061209211</v>
          </cell>
          <cell r="T81">
            <v>35449.71142155696</v>
          </cell>
          <cell r="U81">
            <v>36699.507797054946</v>
          </cell>
          <cell r="V81">
            <v>37996.356553669408</v>
          </cell>
          <cell r="W81">
            <v>39335.463370555779</v>
          </cell>
          <cell r="X81">
            <v>40718.43487105229</v>
          </cell>
          <cell r="Y81">
            <v>42001.549078912576</v>
          </cell>
          <cell r="Z81">
            <v>43666.013885903289</v>
          </cell>
          <cell r="AA81">
            <v>45480.155269917275</v>
          </cell>
          <cell r="AB81">
            <v>47167.26323519295</v>
          </cell>
          <cell r="AC81">
            <v>48928.065477729891</v>
          </cell>
          <cell r="AD81">
            <v>50758.981176756861</v>
          </cell>
          <cell r="AE81">
            <v>102677.92004955909</v>
          </cell>
          <cell r="AF81">
            <v>105947.58438029248</v>
          </cell>
          <cell r="AG81">
            <v>109340.66478677359</v>
          </cell>
          <cell r="AH81">
            <v>112855.5145834936</v>
          </cell>
          <cell r="AI81">
            <v>116475.70748444938</v>
          </cell>
          <cell r="AJ81">
            <v>120225.60801336356</v>
          </cell>
          <cell r="AK81">
            <v>124118.46761975942</v>
          </cell>
          <cell r="AL81">
            <v>108941.69583539691</v>
          </cell>
        </row>
        <row r="82">
          <cell r="C82">
            <v>141</v>
          </cell>
          <cell r="D82" t="str">
            <v>Decrease / (Increase) in working capital</v>
          </cell>
          <cell r="E82" t="str">
            <v>Th RON</v>
          </cell>
          <cell r="I82">
            <v>-601.92269224167467</v>
          </cell>
          <cell r="J82">
            <v>-671.69814840574691</v>
          </cell>
          <cell r="K82">
            <v>-1210.3725534204241</v>
          </cell>
          <cell r="L82">
            <v>-1138.4415182907621</v>
          </cell>
          <cell r="M82">
            <v>-1556.9569363058611</v>
          </cell>
          <cell r="N82">
            <v>-1618.303810150883</v>
          </cell>
          <cell r="O82">
            <v>-1671.2555520878004</v>
          </cell>
          <cell r="P82">
            <v>-1714.2683586828864</v>
          </cell>
          <cell r="Q82">
            <v>-1731.5037862342888</v>
          </cell>
          <cell r="R82">
            <v>-1816.7893370337849</v>
          </cell>
          <cell r="S82">
            <v>-1906.297560712328</v>
          </cell>
          <cell r="T82">
            <v>-1879.5153807350882</v>
          </cell>
          <cell r="U82">
            <v>-1922.6667081764322</v>
          </cell>
          <cell r="V82">
            <v>-1969.8857590280716</v>
          </cell>
          <cell r="W82">
            <v>-2018.819144145888</v>
          </cell>
          <cell r="X82">
            <v>-2068.4899741677245</v>
          </cell>
          <cell r="Y82">
            <v>-2125.1338954264288</v>
          </cell>
          <cell r="Z82">
            <v>-2157.9650725862825</v>
          </cell>
          <cell r="AA82">
            <v>-2215.7298633391183</v>
          </cell>
          <cell r="AB82">
            <v>-2282.6413408629705</v>
          </cell>
          <cell r="AC82">
            <v>-2343.2035755742836</v>
          </cell>
          <cell r="AD82">
            <v>-2405.8785291644231</v>
          </cell>
          <cell r="AE82">
            <v>-3060.4577370888942</v>
          </cell>
          <cell r="AF82">
            <v>-1984.5819205894063</v>
          </cell>
          <cell r="AG82">
            <v>-2047.3716351951493</v>
          </cell>
          <cell r="AH82">
            <v>-2112.6644096128912</v>
          </cell>
          <cell r="AI82">
            <v>-2180.7390989647738</v>
          </cell>
          <cell r="AJ82">
            <v>-2250.4066590790098</v>
          </cell>
          <cell r="AK82">
            <v>-2322.388820625506</v>
          </cell>
          <cell r="AL82">
            <v>-2802.5368667502348</v>
          </cell>
        </row>
        <row r="83">
          <cell r="C83">
            <v>142</v>
          </cell>
          <cell r="D83" t="str">
            <v>FUNDS FROM OPERATIONS</v>
          </cell>
          <cell r="E83" t="str">
            <v>Th RON</v>
          </cell>
          <cell r="I83">
            <v>24788.549543802412</v>
          </cell>
          <cell r="J83">
            <v>19919.692901095783</v>
          </cell>
          <cell r="K83">
            <v>21634.723762989026</v>
          </cell>
          <cell r="L83">
            <v>31616.787441104854</v>
          </cell>
          <cell r="M83">
            <v>32440.551413066431</v>
          </cell>
          <cell r="N83">
            <v>33334.283370016208</v>
          </cell>
          <cell r="O83">
            <v>26889.282349963811</v>
          </cell>
          <cell r="P83">
            <v>27790.046976463018</v>
          </cell>
          <cell r="Q83">
            <v>32089.85245807813</v>
          </cell>
          <cell r="R83">
            <v>33153.459837460374</v>
          </cell>
          <cell r="S83">
            <v>32426.611500496881</v>
          </cell>
          <cell r="T83">
            <v>33570.196040821873</v>
          </cell>
          <cell r="U83">
            <v>34776.841088878515</v>
          </cell>
          <cell r="V83">
            <v>36026.470794641333</v>
          </cell>
          <cell r="W83">
            <v>37316.644226409888</v>
          </cell>
          <cell r="X83">
            <v>38649.944896884568</v>
          </cell>
          <cell r="Y83">
            <v>39876.415183486148</v>
          </cell>
          <cell r="Z83">
            <v>41508.048813317007</v>
          </cell>
          <cell r="AA83">
            <v>43264.425406578157</v>
          </cell>
          <cell r="AB83">
            <v>44884.621894329975</v>
          </cell>
          <cell r="AC83">
            <v>46584.861902155608</v>
          </cell>
          <cell r="AD83">
            <v>48353.102647592437</v>
          </cell>
          <cell r="AE83">
            <v>99617.462312470205</v>
          </cell>
          <cell r="AF83">
            <v>103963.00245970307</v>
          </cell>
          <cell r="AG83">
            <v>107293.29315157844</v>
          </cell>
          <cell r="AH83">
            <v>110742.85017388071</v>
          </cell>
          <cell r="AI83">
            <v>114294.96838548461</v>
          </cell>
          <cell r="AJ83">
            <v>117975.20135428454</v>
          </cell>
          <cell r="AK83">
            <v>121796.07879913392</v>
          </cell>
          <cell r="AL83">
            <v>106139.15896864668</v>
          </cell>
        </row>
        <row r="84">
          <cell r="C84">
            <v>143</v>
          </cell>
          <cell r="D84" t="str">
            <v>Capital expenditures</v>
          </cell>
          <cell r="E84" t="str">
            <v>Th RON</v>
          </cell>
          <cell r="I84">
            <v>-92644.438316406537</v>
          </cell>
          <cell r="J84">
            <v>-2.5465851649641991E-11</v>
          </cell>
          <cell r="K84">
            <v>-2.5465851649641991E-11</v>
          </cell>
          <cell r="L84">
            <v>-1112.549784085244</v>
          </cell>
          <cell r="M84">
            <v>-2.3646862246096134E-11</v>
          </cell>
          <cell r="N84">
            <v>-21638.68011528116</v>
          </cell>
          <cell r="O84">
            <v>-7.2759576141834259E-12</v>
          </cell>
          <cell r="P84">
            <v>-468.20553466771526</v>
          </cell>
          <cell r="Q84">
            <v>-15283.555233901934</v>
          </cell>
          <cell r="R84">
            <v>-1.4551915228366852E-11</v>
          </cell>
          <cell r="S84">
            <v>-15306.154890786289</v>
          </cell>
          <cell r="T84">
            <v>-7.2759576141834259E-12</v>
          </cell>
          <cell r="U84">
            <v>-7.2759576141834259E-12</v>
          </cell>
          <cell r="V84">
            <v>-1523.2402687209615</v>
          </cell>
          <cell r="W84">
            <v>-2.1827872842550278E-11</v>
          </cell>
          <cell r="X84">
            <v>-24983.129407297347</v>
          </cell>
          <cell r="Y84">
            <v>-17440.830068976458</v>
          </cell>
          <cell r="Z84">
            <v>0</v>
          </cell>
          <cell r="AA84">
            <v>-485.12894404504914</v>
          </cell>
          <cell r="AB84">
            <v>-4.3655745685100555E-11</v>
          </cell>
          <cell r="AC84">
            <v>-25017.692136087615</v>
          </cell>
          <cell r="AD84">
            <v>-1269.8960339151963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C85">
            <v>144</v>
          </cell>
          <cell r="D85" t="str">
            <v>FREE CASH-FLOW</v>
          </cell>
          <cell r="E85" t="str">
            <v>Th RON</v>
          </cell>
          <cell r="I85">
            <v>-67855.888772604128</v>
          </cell>
          <cell r="J85">
            <v>19919.692901095757</v>
          </cell>
          <cell r="K85">
            <v>21634.723762989001</v>
          </cell>
          <cell r="L85">
            <v>30504.23765701961</v>
          </cell>
          <cell r="M85">
            <v>32440.551413066409</v>
          </cell>
          <cell r="N85">
            <v>11695.603254735048</v>
          </cell>
          <cell r="O85">
            <v>26889.282349963803</v>
          </cell>
          <cell r="P85">
            <v>27321.841441795303</v>
          </cell>
          <cell r="Q85">
            <v>16806.297224176196</v>
          </cell>
          <cell r="R85">
            <v>33153.459837460359</v>
          </cell>
          <cell r="S85">
            <v>17120.456609710593</v>
          </cell>
          <cell r="T85">
            <v>33570.196040821866</v>
          </cell>
          <cell r="U85">
            <v>34776.841088878507</v>
          </cell>
          <cell r="V85">
            <v>34503.230525920371</v>
          </cell>
          <cell r="W85">
            <v>37316.644226409866</v>
          </cell>
          <cell r="X85">
            <v>13666.815489587221</v>
          </cell>
          <cell r="Y85">
            <v>22435.585114509689</v>
          </cell>
          <cell r="Z85">
            <v>41508.048813317007</v>
          </cell>
          <cell r="AA85">
            <v>42779.296462533108</v>
          </cell>
          <cell r="AB85">
            <v>44884.621894329932</v>
          </cell>
          <cell r="AC85">
            <v>21567.169766067993</v>
          </cell>
          <cell r="AD85">
            <v>47083.206613677241</v>
          </cell>
          <cell r="AE85">
            <v>99617.462312470205</v>
          </cell>
          <cell r="AF85">
            <v>103963.00245970307</v>
          </cell>
          <cell r="AG85">
            <v>107293.29315157844</v>
          </cell>
          <cell r="AH85">
            <v>110742.85017388071</v>
          </cell>
          <cell r="AI85">
            <v>114294.96838548461</v>
          </cell>
          <cell r="AJ85">
            <v>117975.20135428454</v>
          </cell>
          <cell r="AK85">
            <v>121796.07879913392</v>
          </cell>
          <cell r="AL85">
            <v>106139.15896864668</v>
          </cell>
        </row>
        <row r="86">
          <cell r="C86">
            <v>145</v>
          </cell>
          <cell r="D86" t="str">
            <v>Grants</v>
          </cell>
          <cell r="E86" t="str">
            <v>Th RON</v>
          </cell>
          <cell r="I86">
            <v>65162.726735225588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C87">
            <v>146</v>
          </cell>
          <cell r="D87" t="str">
            <v>Equity contributions</v>
          </cell>
          <cell r="E87" t="str">
            <v>Th RON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C88">
            <v>147</v>
          </cell>
          <cell r="D88" t="str">
            <v>Disbursements IFI loan (project)</v>
          </cell>
          <cell r="E88" t="str">
            <v>Th RON</v>
          </cell>
          <cell r="I88">
            <v>8639.9796784971622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C89">
            <v>148</v>
          </cell>
          <cell r="D89" t="str">
            <v>Disbursements other loans</v>
          </cell>
          <cell r="E89" t="str">
            <v>Th RON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C90">
            <v>149</v>
          </cell>
          <cell r="D90" t="str">
            <v>Dividend payments</v>
          </cell>
          <cell r="E90" t="str">
            <v>Th RON</v>
          </cell>
          <cell r="I90">
            <v>0</v>
          </cell>
          <cell r="J90">
            <v>-1634.6519646841898</v>
          </cell>
          <cell r="K90">
            <v>-1016.0503765402432</v>
          </cell>
          <cell r="L90">
            <v>-1249.5968205682959</v>
          </cell>
          <cell r="M90">
            <v>-2059.8839109063301</v>
          </cell>
          <cell r="N90">
            <v>-2131.2145861667195</v>
          </cell>
          <cell r="O90">
            <v>-2205.736689143177</v>
          </cell>
          <cell r="P90">
            <v>-1471.6676158423613</v>
          </cell>
          <cell r="Q90">
            <v>-1548.340119256542</v>
          </cell>
          <cell r="R90">
            <v>-1905.0979245642543</v>
          </cell>
          <cell r="S90">
            <v>-1871.8111464205167</v>
          </cell>
          <cell r="T90">
            <v>-1815.4876035085954</v>
          </cell>
          <cell r="U90">
            <v>-1971.1913603965506</v>
          </cell>
          <cell r="V90">
            <v>-2074.6239198750586</v>
          </cell>
          <cell r="W90">
            <v>-2185.3775801346965</v>
          </cell>
          <cell r="X90">
            <v>-2284.0612298935566</v>
          </cell>
          <cell r="Y90">
            <v>-2399.158914031053</v>
          </cell>
          <cell r="Z90">
            <v>-2296.0658601461269</v>
          </cell>
          <cell r="AA90">
            <v>-2288.4584607367483</v>
          </cell>
          <cell r="AB90">
            <v>-2440.0183366273627</v>
          </cell>
          <cell r="AC90">
            <v>-2577.4012390966554</v>
          </cell>
          <cell r="AD90">
            <v>-2926.6286276374758</v>
          </cell>
          <cell r="AE90">
            <v>-2993.85805660399</v>
          </cell>
          <cell r="AF90">
            <v>-7339.1073771680331</v>
          </cell>
          <cell r="AG90">
            <v>-8254.9073870691991</v>
          </cell>
          <cell r="AH90">
            <v>-8970.9548915460473</v>
          </cell>
          <cell r="AI90">
            <v>-9307.3643193302032</v>
          </cell>
          <cell r="AJ90">
            <v>-9605.9674869348564</v>
          </cell>
          <cell r="AK90">
            <v>-9915.2587562807603</v>
          </cell>
          <cell r="AL90">
            <v>-10236.354015559524</v>
          </cell>
        </row>
        <row r="91">
          <cell r="C91">
            <v>150</v>
          </cell>
          <cell r="D91" t="str">
            <v>Income tax payments</v>
          </cell>
          <cell r="E91" t="str">
            <v>Th RON</v>
          </cell>
          <cell r="I91">
            <v>0</v>
          </cell>
          <cell r="J91">
            <v>-3113.6227898746474</v>
          </cell>
          <cell r="K91">
            <v>-1935.3340505528442</v>
          </cell>
          <cell r="L91">
            <v>-2380.1844201300878</v>
          </cell>
          <cell r="M91">
            <v>-3923.5884017263429</v>
          </cell>
          <cell r="N91">
            <v>-4059.4563546032755</v>
          </cell>
          <cell r="O91">
            <v>-4201.4032174155755</v>
          </cell>
          <cell r="P91">
            <v>-2803.1764111283073</v>
          </cell>
          <cell r="Q91">
            <v>-2949.2192747743657</v>
          </cell>
          <cell r="R91">
            <v>-3628.7579515509606</v>
          </cell>
          <cell r="S91">
            <v>-3565.3545646105081</v>
          </cell>
          <cell r="T91">
            <v>-3458.0716257306572</v>
          </cell>
          <cell r="U91">
            <v>-3754.6502102791442</v>
          </cell>
          <cell r="V91">
            <v>-3951.6646092858255</v>
          </cell>
          <cell r="W91">
            <v>-4162.6239621613258</v>
          </cell>
          <cell r="X91">
            <v>-4350.5928188448688</v>
          </cell>
          <cell r="Y91">
            <v>-4569.8265029162912</v>
          </cell>
          <cell r="Z91">
            <v>-4373.4587812307172</v>
          </cell>
          <cell r="AA91">
            <v>-4358.9684966414252</v>
          </cell>
          <cell r="AB91">
            <v>-4647.6539745283089</v>
          </cell>
          <cell r="AC91">
            <v>-4909.3356935174388</v>
          </cell>
          <cell r="AD91">
            <v>-5574.5307193094768</v>
          </cell>
          <cell r="AE91">
            <v>-5702.5867744837897</v>
          </cell>
          <cell r="AF91">
            <v>-13979.25214698673</v>
          </cell>
          <cell r="AG91">
            <v>-15723.633118227042</v>
          </cell>
          <cell r="AH91">
            <v>-17087.533126754377</v>
          </cell>
          <cell r="AI91">
            <v>-17728.312989200385</v>
          </cell>
          <cell r="AJ91">
            <v>-18297.080927494964</v>
          </cell>
          <cell r="AK91">
            <v>-18886.207154820495</v>
          </cell>
          <cell r="AL91">
            <v>-19497.817172494328</v>
          </cell>
        </row>
        <row r="92">
          <cell r="C92">
            <v>151</v>
          </cell>
          <cell r="D92" t="str">
            <v>CASH-FLOW BEFORE DEBT SERVICE</v>
          </cell>
          <cell r="E92" t="str">
            <v>Th RON</v>
          </cell>
          <cell r="I92">
            <v>5946.8176411186214</v>
          </cell>
          <cell r="J92">
            <v>15171.418146536922</v>
          </cell>
          <cell r="K92">
            <v>18683.339335895915</v>
          </cell>
          <cell r="L92">
            <v>26874.456416321227</v>
          </cell>
          <cell r="M92">
            <v>26457.079100433737</v>
          </cell>
          <cell r="N92">
            <v>5504.9323139650533</v>
          </cell>
          <cell r="O92">
            <v>20482.14244340505</v>
          </cell>
          <cell r="P92">
            <v>23046.997414824633</v>
          </cell>
          <cell r="Q92">
            <v>12308.737830145288</v>
          </cell>
          <cell r="R92">
            <v>27619.603961345143</v>
          </cell>
          <cell r="S92">
            <v>11683.290898679566</v>
          </cell>
          <cell r="T92">
            <v>28296.636811582615</v>
          </cell>
          <cell r="U92">
            <v>29050.999518202811</v>
          </cell>
          <cell r="V92">
            <v>28476.941996759488</v>
          </cell>
          <cell r="W92">
            <v>30968.642684113838</v>
          </cell>
          <cell r="X92">
            <v>7032.1614408487967</v>
          </cell>
          <cell r="Y92">
            <v>15466.599697562346</v>
          </cell>
          <cell r="Z92">
            <v>34838.524171940167</v>
          </cell>
          <cell r="AA92">
            <v>36131.869505154929</v>
          </cell>
          <cell r="AB92">
            <v>37796.949583174261</v>
          </cell>
          <cell r="AC92">
            <v>14080.432833453899</v>
          </cell>
          <cell r="AD92">
            <v>38582.047266730289</v>
          </cell>
          <cell r="AE92">
            <v>90921.017481382427</v>
          </cell>
          <cell r="AF92">
            <v>82644.642935548298</v>
          </cell>
          <cell r="AG92">
            <v>83314.752646282213</v>
          </cell>
          <cell r="AH92">
            <v>84684.362155580282</v>
          </cell>
          <cell r="AI92">
            <v>87259.291076954018</v>
          </cell>
          <cell r="AJ92">
            <v>90072.152939854714</v>
          </cell>
          <cell r="AK92">
            <v>92994.612888032658</v>
          </cell>
          <cell r="AL92">
            <v>76404.987780592826</v>
          </cell>
        </row>
        <row r="93">
          <cell r="C93">
            <v>152</v>
          </cell>
          <cell r="D93" t="str">
            <v>Reimbursement of IFI loan (project)</v>
          </cell>
          <cell r="E93" t="str">
            <v>Th RON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-402.46486596092615</v>
          </cell>
          <cell r="O93">
            <v>-424.60043358877715</v>
          </cell>
          <cell r="P93">
            <v>-447.95345743615991</v>
          </cell>
          <cell r="Q93">
            <v>-472.59089759514865</v>
          </cell>
          <cell r="R93">
            <v>-498.58339696288192</v>
          </cell>
          <cell r="S93">
            <v>-526.00548379584029</v>
          </cell>
          <cell r="T93">
            <v>-554.93578540461158</v>
          </cell>
          <cell r="U93">
            <v>-585.45725360186509</v>
          </cell>
          <cell r="V93">
            <v>-617.65740254996763</v>
          </cell>
          <cell r="W93">
            <v>-651.62855969021598</v>
          </cell>
          <cell r="X93">
            <v>-687.46813047317801</v>
          </cell>
          <cell r="Y93">
            <v>-725.27887764920274</v>
          </cell>
          <cell r="Z93">
            <v>-765.16921591990877</v>
          </cell>
          <cell r="AA93">
            <v>-807.25352279550384</v>
          </cell>
          <cell r="AB93">
            <v>-851.65246654925647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C94">
            <v>153</v>
          </cell>
          <cell r="D94" t="str">
            <v>Interest payments IFI loan (project)</v>
          </cell>
          <cell r="E94" t="str">
            <v>Th RON</v>
          </cell>
          <cell r="I94">
            <v>0</v>
          </cell>
          <cell r="J94">
            <v>-482.65298243212573</v>
          </cell>
          <cell r="K94">
            <v>-488.33125281368018</v>
          </cell>
          <cell r="L94">
            <v>-492.16130185535604</v>
          </cell>
          <cell r="M94">
            <v>-494.57385725660771</v>
          </cell>
          <cell r="N94">
            <v>-496.02848624853891</v>
          </cell>
          <cell r="O94">
            <v>-473.89291862068791</v>
          </cell>
          <cell r="P94">
            <v>-450.53989477330515</v>
          </cell>
          <cell r="Q94">
            <v>-425.90245461431635</v>
          </cell>
          <cell r="R94">
            <v>-399.90995524658319</v>
          </cell>
          <cell r="S94">
            <v>-372.48786841362465</v>
          </cell>
          <cell r="T94">
            <v>-343.55756680485337</v>
          </cell>
          <cell r="U94">
            <v>-313.0360986075998</v>
          </cell>
          <cell r="V94">
            <v>-280.8359496594972</v>
          </cell>
          <cell r="W94">
            <v>-246.86479251924891</v>
          </cell>
          <cell r="X94">
            <v>-211.02522173628708</v>
          </cell>
          <cell r="Y94">
            <v>-173.21447456026226</v>
          </cell>
          <cell r="Z94">
            <v>-133.32413628955609</v>
          </cell>
          <cell r="AA94">
            <v>-91.23982941396109</v>
          </cell>
          <cell r="AB94">
            <v>-46.840885660208386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C95">
            <v>154</v>
          </cell>
          <cell r="D95" t="str">
            <v>Financial fees IFI loan (project)</v>
          </cell>
          <cell r="E95" t="str">
            <v>Th RON</v>
          </cell>
          <cell r="I95">
            <v>-64.79984758872871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C96">
            <v>155</v>
          </cell>
          <cell r="D96" t="str">
            <v>Reimbursement of other loans</v>
          </cell>
          <cell r="E96" t="str">
            <v>Th RON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</row>
        <row r="97">
          <cell r="C97">
            <v>156</v>
          </cell>
          <cell r="D97" t="str">
            <v>Interest payments other loans</v>
          </cell>
          <cell r="E97" t="str">
            <v>Th RON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C98">
            <v>157</v>
          </cell>
          <cell r="D98" t="str">
            <v>Reimbursement revolving credit</v>
          </cell>
          <cell r="E98" t="str">
            <v>Th RON</v>
          </cell>
          <cell r="I98">
            <v>0</v>
          </cell>
          <cell r="J98">
            <v>-921.14832255952922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C99">
            <v>158</v>
          </cell>
          <cell r="D99" t="str">
            <v>SURPLUS / (DEFICIT) FOR THE YEAR</v>
          </cell>
          <cell r="E99" t="str">
            <v>Th RON</v>
          </cell>
          <cell r="I99">
            <v>5882.0177935298925</v>
          </cell>
          <cell r="J99">
            <v>13767.616841545267</v>
          </cell>
          <cell r="K99">
            <v>18195.008083082233</v>
          </cell>
          <cell r="L99">
            <v>26382.295114465873</v>
          </cell>
          <cell r="M99">
            <v>25962.505243177129</v>
          </cell>
          <cell r="N99">
            <v>4606.438961755588</v>
          </cell>
          <cell r="O99">
            <v>19583.649091195584</v>
          </cell>
          <cell r="P99">
            <v>22148.504062615168</v>
          </cell>
          <cell r="Q99">
            <v>11410.244477935825</v>
          </cell>
          <cell r="R99">
            <v>26721.110609135678</v>
          </cell>
          <cell r="S99">
            <v>10784.797546470103</v>
          </cell>
          <cell r="T99">
            <v>27398.14345937315</v>
          </cell>
          <cell r="U99">
            <v>28152.506165993345</v>
          </cell>
          <cell r="V99">
            <v>27578.448644550022</v>
          </cell>
          <cell r="W99">
            <v>30070.149331904373</v>
          </cell>
          <cell r="X99">
            <v>6133.6680886393315</v>
          </cell>
          <cell r="Y99">
            <v>14568.10634535288</v>
          </cell>
          <cell r="Z99">
            <v>33940.030819730702</v>
          </cell>
          <cell r="AA99">
            <v>35233.376152945464</v>
          </cell>
          <cell r="AB99">
            <v>36898.456230964795</v>
          </cell>
          <cell r="AC99">
            <v>14080.432833453899</v>
          </cell>
          <cell r="AD99">
            <v>38582.047266730289</v>
          </cell>
          <cell r="AE99">
            <v>90921.017481382427</v>
          </cell>
          <cell r="AF99">
            <v>82644.642935548298</v>
          </cell>
          <cell r="AG99">
            <v>83314.752646282213</v>
          </cell>
          <cell r="AH99">
            <v>84684.362155580282</v>
          </cell>
          <cell r="AI99">
            <v>87259.291076954018</v>
          </cell>
          <cell r="AJ99">
            <v>90072.152939854714</v>
          </cell>
          <cell r="AK99">
            <v>92994.612888032658</v>
          </cell>
          <cell r="AL99">
            <v>76404.987780592826</v>
          </cell>
        </row>
        <row r="100">
          <cell r="C100">
            <v>159</v>
          </cell>
          <cell r="D100" t="str">
            <v>Drawdowns revolving credit</v>
          </cell>
          <cell r="E100" t="str">
            <v>Th RON</v>
          </cell>
          <cell r="I100">
            <v>921.14832255952922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C101">
            <v>160</v>
          </cell>
          <cell r="D101" t="str">
            <v>Interest on revolving credit</v>
          </cell>
          <cell r="E101" t="str">
            <v>Th RON</v>
          </cell>
          <cell r="I101">
            <v>-136.32995173881034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C102">
            <v>161</v>
          </cell>
          <cell r="D102" t="str">
            <v>NET CASH-FLOW</v>
          </cell>
          <cell r="E102" t="str">
            <v>Th RON</v>
          </cell>
          <cell r="I102">
            <v>6666.8361643506114</v>
          </cell>
          <cell r="J102">
            <v>13767.616841545267</v>
          </cell>
          <cell r="K102">
            <v>18195.008083082233</v>
          </cell>
          <cell r="L102">
            <v>26382.295114465873</v>
          </cell>
          <cell r="M102">
            <v>25962.505243177129</v>
          </cell>
          <cell r="N102">
            <v>4606.438961755588</v>
          </cell>
          <cell r="O102">
            <v>19583.649091195584</v>
          </cell>
          <cell r="P102">
            <v>22148.504062615168</v>
          </cell>
          <cell r="Q102">
            <v>11410.244477935825</v>
          </cell>
          <cell r="R102">
            <v>26721.110609135678</v>
          </cell>
          <cell r="S102">
            <v>10784.797546470103</v>
          </cell>
          <cell r="T102">
            <v>27398.14345937315</v>
          </cell>
          <cell r="U102">
            <v>28152.506165993345</v>
          </cell>
          <cell r="V102">
            <v>27578.448644550022</v>
          </cell>
          <cell r="W102">
            <v>30070.149331904373</v>
          </cell>
          <cell r="X102">
            <v>6133.6680886393315</v>
          </cell>
          <cell r="Y102">
            <v>14568.10634535288</v>
          </cell>
          <cell r="Z102">
            <v>33940.030819730702</v>
          </cell>
          <cell r="AA102">
            <v>35233.376152945464</v>
          </cell>
          <cell r="AB102">
            <v>36898.456230964795</v>
          </cell>
          <cell r="AC102">
            <v>14080.432833453899</v>
          </cell>
          <cell r="AD102">
            <v>38582.047266730289</v>
          </cell>
          <cell r="AE102">
            <v>90921.017481382427</v>
          </cell>
          <cell r="AF102">
            <v>82644.642935548298</v>
          </cell>
          <cell r="AG102">
            <v>83314.752646282213</v>
          </cell>
          <cell r="AH102">
            <v>84684.362155580282</v>
          </cell>
          <cell r="AI102">
            <v>87259.291076954018</v>
          </cell>
          <cell r="AJ102">
            <v>90072.152939854714</v>
          </cell>
          <cell r="AK102">
            <v>92994.612888032658</v>
          </cell>
          <cell r="AL102">
            <v>76404.987780592826</v>
          </cell>
        </row>
        <row r="103">
          <cell r="C103">
            <v>162</v>
          </cell>
          <cell r="D103" t="str">
            <v>Cash in hand at the end of the year</v>
          </cell>
          <cell r="E103" t="str">
            <v>Th RON</v>
          </cell>
          <cell r="I103">
            <v>8166.8361643506114</v>
          </cell>
          <cell r="J103">
            <v>21934.453005895877</v>
          </cell>
          <cell r="K103">
            <v>40129.461088978111</v>
          </cell>
          <cell r="L103">
            <v>66511.756203443976</v>
          </cell>
          <cell r="M103">
            <v>92474.261446621109</v>
          </cell>
          <cell r="N103">
            <v>97080.700408376695</v>
          </cell>
          <cell r="O103">
            <v>116664.34949957227</v>
          </cell>
          <cell r="P103">
            <v>138812.85356218743</v>
          </cell>
          <cell r="Q103">
            <v>150223.09804012327</v>
          </cell>
          <cell r="R103">
            <v>176944.20864925894</v>
          </cell>
          <cell r="S103">
            <v>187729.00619572905</v>
          </cell>
          <cell r="T103">
            <v>215127.1496551022</v>
          </cell>
          <cell r="U103">
            <v>243279.65582109554</v>
          </cell>
          <cell r="V103">
            <v>270858.10446564556</v>
          </cell>
          <cell r="W103">
            <v>300928.25379754993</v>
          </cell>
          <cell r="X103">
            <v>307061.92188618926</v>
          </cell>
          <cell r="Y103">
            <v>321630.02823154215</v>
          </cell>
          <cell r="Z103">
            <v>355570.05905127287</v>
          </cell>
          <cell r="AA103">
            <v>390803.43520421832</v>
          </cell>
          <cell r="AB103">
            <v>427701.89143518312</v>
          </cell>
          <cell r="AC103">
            <v>441782.32426863699</v>
          </cell>
          <cell r="AD103">
            <v>480364.37153536727</v>
          </cell>
          <cell r="AE103">
            <v>571285.38901674969</v>
          </cell>
          <cell r="AF103">
            <v>653930.03195229801</v>
          </cell>
          <cell r="AG103">
            <v>737244.78459858021</v>
          </cell>
          <cell r="AH103">
            <v>821929.14675416052</v>
          </cell>
          <cell r="AI103">
            <v>909188.43783111451</v>
          </cell>
          <cell r="AJ103">
            <v>999260.59077096917</v>
          </cell>
          <cell r="AK103">
            <v>1092255.2036590017</v>
          </cell>
          <cell r="AL103">
            <v>1168660.1914395946</v>
          </cell>
        </row>
        <row r="106">
          <cell r="C106" t="str">
            <v>BALANCE SHEET</v>
          </cell>
        </row>
        <row r="110">
          <cell r="D110" t="str">
            <v>Balance sheet - RON</v>
          </cell>
        </row>
        <row r="111">
          <cell r="C111">
            <v>163</v>
          </cell>
          <cell r="D111" t="str">
            <v>Gross fixet assets (existing assets)</v>
          </cell>
          <cell r="E111" t="str">
            <v>Th RON</v>
          </cell>
          <cell r="F111">
            <v>89150</v>
          </cell>
          <cell r="G111">
            <v>93460</v>
          </cell>
          <cell r="H111">
            <v>98680</v>
          </cell>
          <cell r="I111">
            <v>98680</v>
          </cell>
          <cell r="J111">
            <v>98680</v>
          </cell>
          <cell r="K111">
            <v>98680</v>
          </cell>
          <cell r="L111">
            <v>98680</v>
          </cell>
          <cell r="M111">
            <v>98680</v>
          </cell>
          <cell r="N111">
            <v>98680</v>
          </cell>
          <cell r="O111">
            <v>98680</v>
          </cell>
          <cell r="P111">
            <v>98680</v>
          </cell>
          <cell r="Q111">
            <v>98680</v>
          </cell>
          <cell r="R111">
            <v>98680</v>
          </cell>
          <cell r="S111">
            <v>98680</v>
          </cell>
          <cell r="T111">
            <v>98680</v>
          </cell>
          <cell r="U111">
            <v>98680</v>
          </cell>
          <cell r="V111">
            <v>98680</v>
          </cell>
          <cell r="W111">
            <v>98680</v>
          </cell>
          <cell r="X111">
            <v>98680</v>
          </cell>
          <cell r="Y111">
            <v>98680</v>
          </cell>
          <cell r="Z111">
            <v>98680</v>
          </cell>
          <cell r="AA111">
            <v>98680</v>
          </cell>
          <cell r="AB111">
            <v>98680</v>
          </cell>
          <cell r="AC111">
            <v>98680</v>
          </cell>
          <cell r="AD111">
            <v>98680</v>
          </cell>
          <cell r="AE111">
            <v>98680</v>
          </cell>
          <cell r="AF111">
            <v>98680</v>
          </cell>
          <cell r="AG111">
            <v>98680</v>
          </cell>
          <cell r="AH111">
            <v>98680</v>
          </cell>
          <cell r="AI111">
            <v>98680</v>
          </cell>
          <cell r="AJ111">
            <v>98680</v>
          </cell>
          <cell r="AK111">
            <v>98680</v>
          </cell>
          <cell r="AL111">
            <v>98680</v>
          </cell>
        </row>
        <row r="112">
          <cell r="C112">
            <v>164</v>
          </cell>
          <cell r="D112" t="str">
            <v>less depreciation (existing assets)</v>
          </cell>
          <cell r="E112" t="str">
            <v>Th RON</v>
          </cell>
          <cell r="F112">
            <v>-11000</v>
          </cell>
          <cell r="G112">
            <v>-13800</v>
          </cell>
          <cell r="H112">
            <v>-18200</v>
          </cell>
          <cell r="I112">
            <v>-22147.200000000001</v>
          </cell>
          <cell r="J112">
            <v>-26094.400000000001</v>
          </cell>
          <cell r="K112">
            <v>-30041.600000000002</v>
          </cell>
          <cell r="L112">
            <v>-33988.800000000003</v>
          </cell>
          <cell r="M112">
            <v>-37936</v>
          </cell>
          <cell r="N112">
            <v>-41883.199999999997</v>
          </cell>
          <cell r="O112">
            <v>-45830.399999999994</v>
          </cell>
          <cell r="P112">
            <v>-49777.599999999991</v>
          </cell>
          <cell r="Q112">
            <v>-53724.799999999988</v>
          </cell>
          <cell r="R112">
            <v>-57671.999999999985</v>
          </cell>
          <cell r="S112">
            <v>-61619.199999999983</v>
          </cell>
          <cell r="T112">
            <v>-65566.39999999998</v>
          </cell>
          <cell r="U112">
            <v>-69513.599999999977</v>
          </cell>
          <cell r="V112">
            <v>-73460.799999999974</v>
          </cell>
          <cell r="W112">
            <v>-77407.999999999971</v>
          </cell>
          <cell r="X112">
            <v>-81355.199999999968</v>
          </cell>
          <cell r="Y112">
            <v>-85302.399999999965</v>
          </cell>
          <cell r="Z112">
            <v>-89249.599999999962</v>
          </cell>
          <cell r="AA112">
            <v>-93196.799999999959</v>
          </cell>
          <cell r="AB112">
            <v>-97143.999999999956</v>
          </cell>
          <cell r="AC112">
            <v>-98680</v>
          </cell>
          <cell r="AD112">
            <v>-98680</v>
          </cell>
          <cell r="AE112">
            <v>-98680</v>
          </cell>
          <cell r="AF112">
            <v>-98680</v>
          </cell>
          <cell r="AG112">
            <v>-98680</v>
          </cell>
          <cell r="AH112">
            <v>-98680</v>
          </cell>
          <cell r="AI112">
            <v>-98680</v>
          </cell>
          <cell r="AJ112">
            <v>-98680</v>
          </cell>
          <cell r="AK112">
            <v>-98680</v>
          </cell>
          <cell r="AL112">
            <v>-98680</v>
          </cell>
        </row>
        <row r="113">
          <cell r="C113">
            <v>165</v>
          </cell>
          <cell r="D113" t="str">
            <v>Gross fixet assets (project assets)</v>
          </cell>
          <cell r="E113" t="str">
            <v>Th RON</v>
          </cell>
          <cell r="F113">
            <v>0</v>
          </cell>
          <cell r="G113">
            <v>0</v>
          </cell>
          <cell r="H113">
            <v>0</v>
          </cell>
          <cell r="I113">
            <v>88214.192517456002</v>
          </cell>
          <cell r="J113">
            <v>88214.192517456002</v>
          </cell>
          <cell r="K113">
            <v>88214.192517456002</v>
          </cell>
          <cell r="L113">
            <v>88214.192517456002</v>
          </cell>
          <cell r="M113">
            <v>88214.192517456002</v>
          </cell>
          <cell r="N113">
            <v>88214.192517456002</v>
          </cell>
          <cell r="O113">
            <v>88214.192517456002</v>
          </cell>
          <cell r="P113">
            <v>88214.192517456002</v>
          </cell>
          <cell r="Q113">
            <v>88214.192517456002</v>
          </cell>
          <cell r="R113">
            <v>88214.192517456002</v>
          </cell>
          <cell r="S113">
            <v>88214.192517456002</v>
          </cell>
          <cell r="T113">
            <v>88214.192517456002</v>
          </cell>
          <cell r="U113">
            <v>88214.192517456002</v>
          </cell>
          <cell r="V113">
            <v>88214.192517456002</v>
          </cell>
          <cell r="W113">
            <v>88214.192517456002</v>
          </cell>
          <cell r="X113">
            <v>88214.192517456002</v>
          </cell>
          <cell r="Y113">
            <v>88214.192517456002</v>
          </cell>
          <cell r="Z113">
            <v>88214.192517456002</v>
          </cell>
          <cell r="AA113">
            <v>88214.192517456002</v>
          </cell>
          <cell r="AB113">
            <v>88214.192517456002</v>
          </cell>
          <cell r="AC113">
            <v>88214.192517456002</v>
          </cell>
          <cell r="AD113">
            <v>88214.192517456002</v>
          </cell>
          <cell r="AE113">
            <v>88214.192517456002</v>
          </cell>
          <cell r="AF113">
            <v>88214.192517456002</v>
          </cell>
          <cell r="AG113">
            <v>88214.192517456002</v>
          </cell>
          <cell r="AH113">
            <v>88214.192517456002</v>
          </cell>
          <cell r="AI113">
            <v>88214.192517456002</v>
          </cell>
          <cell r="AJ113">
            <v>88214.192517456002</v>
          </cell>
          <cell r="AK113">
            <v>88214.192517456002</v>
          </cell>
          <cell r="AL113">
            <v>88214.192517456002</v>
          </cell>
        </row>
        <row r="114">
          <cell r="C114">
            <v>166</v>
          </cell>
          <cell r="D114" t="str">
            <v>less depreciation (project assets)</v>
          </cell>
          <cell r="E114" t="str">
            <v>Th RON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-8821.4192517456013</v>
          </cell>
          <cell r="K114">
            <v>-17642.838503491203</v>
          </cell>
          <cell r="L114">
            <v>-26464.257755236802</v>
          </cell>
          <cell r="M114">
            <v>-35285.677006982405</v>
          </cell>
          <cell r="N114">
            <v>-44107.096258728008</v>
          </cell>
          <cell r="O114">
            <v>-52928.515510473611</v>
          </cell>
          <cell r="P114">
            <v>-61749.934762219214</v>
          </cell>
          <cell r="Q114">
            <v>-70571.35401396481</v>
          </cell>
          <cell r="R114">
            <v>-79392.773265710406</v>
          </cell>
          <cell r="S114">
            <v>-88214.192517456002</v>
          </cell>
          <cell r="T114">
            <v>-88214.192517456002</v>
          </cell>
          <cell r="U114">
            <v>-88214.192517456002</v>
          </cell>
          <cell r="V114">
            <v>-88214.192517456002</v>
          </cell>
          <cell r="W114">
            <v>-88214.192517456002</v>
          </cell>
          <cell r="X114">
            <v>-88214.192517456002</v>
          </cell>
          <cell r="Y114">
            <v>-88214.192517456002</v>
          </cell>
          <cell r="Z114">
            <v>-88214.192517456002</v>
          </cell>
          <cell r="AA114">
            <v>-88214.192517456002</v>
          </cell>
          <cell r="AB114">
            <v>-88214.192517456002</v>
          </cell>
          <cell r="AC114">
            <v>-88214.192517456002</v>
          </cell>
          <cell r="AD114">
            <v>-88214.192517456002</v>
          </cell>
          <cell r="AE114">
            <v>-88214.192517456002</v>
          </cell>
          <cell r="AF114">
            <v>-88214.192517456002</v>
          </cell>
          <cell r="AG114">
            <v>-88214.192517456002</v>
          </cell>
          <cell r="AH114">
            <v>-88214.192517456002</v>
          </cell>
          <cell r="AI114">
            <v>-88214.192517456002</v>
          </cell>
          <cell r="AJ114">
            <v>-88214.192517456002</v>
          </cell>
          <cell r="AK114">
            <v>-88214.192517456002</v>
          </cell>
          <cell r="AL114">
            <v>-88214.192517456002</v>
          </cell>
        </row>
        <row r="115">
          <cell r="C115">
            <v>167</v>
          </cell>
          <cell r="D115" t="str">
            <v>Gross fixet assets (other CAPEX)</v>
          </cell>
          <cell r="E115" t="str">
            <v>Th RON</v>
          </cell>
          <cell r="F115">
            <v>0</v>
          </cell>
          <cell r="G115">
            <v>0</v>
          </cell>
          <cell r="H115">
            <v>0</v>
          </cell>
          <cell r="I115">
            <v>4430.2457989505092</v>
          </cell>
          <cell r="J115">
            <v>4430.2457989505092</v>
          </cell>
          <cell r="K115">
            <v>4430.2457989505092</v>
          </cell>
          <cell r="L115">
            <v>5542.7955830357296</v>
          </cell>
          <cell r="M115">
            <v>5542.7955830357296</v>
          </cell>
          <cell r="N115">
            <v>27181.475698316885</v>
          </cell>
          <cell r="O115">
            <v>27181.475698316885</v>
          </cell>
          <cell r="P115">
            <v>27649.681232984585</v>
          </cell>
          <cell r="Q115">
            <v>42933.236466886505</v>
          </cell>
          <cell r="R115">
            <v>42933.236466886505</v>
          </cell>
          <cell r="S115">
            <v>58239.391357672786</v>
          </cell>
          <cell r="T115">
            <v>58239.391357672786</v>
          </cell>
          <cell r="U115">
            <v>58239.391357672786</v>
          </cell>
          <cell r="V115">
            <v>59762.631626393726</v>
          </cell>
          <cell r="W115">
            <v>59762.631626393726</v>
          </cell>
          <cell r="X115">
            <v>84745.761033691058</v>
          </cell>
          <cell r="Y115">
            <v>102186.59110266752</v>
          </cell>
          <cell r="Z115">
            <v>102186.59110266752</v>
          </cell>
          <cell r="AA115">
            <v>102671.72004671252</v>
          </cell>
          <cell r="AB115">
            <v>102671.72004671252</v>
          </cell>
          <cell r="AC115">
            <v>127689.41218280011</v>
          </cell>
          <cell r="AD115">
            <v>128959.3082167153</v>
          </cell>
          <cell r="AE115">
            <v>128959.3082167153</v>
          </cell>
          <cell r="AF115">
            <v>128959.3082167153</v>
          </cell>
          <cell r="AG115">
            <v>128959.3082167153</v>
          </cell>
          <cell r="AH115">
            <v>128959.3082167153</v>
          </cell>
          <cell r="AI115">
            <v>128959.3082167153</v>
          </cell>
          <cell r="AJ115">
            <v>128959.3082167153</v>
          </cell>
          <cell r="AK115">
            <v>128959.3082167153</v>
          </cell>
          <cell r="AL115">
            <v>128959.3082167153</v>
          </cell>
        </row>
        <row r="116">
          <cell r="C116">
            <v>168</v>
          </cell>
          <cell r="D116" t="str">
            <v>less depreciation (other CAPEX)</v>
          </cell>
          <cell r="E116" t="str">
            <v>Th RON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-443.02457989505092</v>
          </cell>
          <cell r="K116">
            <v>-886.04915979010184</v>
          </cell>
          <cell r="L116">
            <v>-1329.0737396851528</v>
          </cell>
          <cell r="M116">
            <v>-1883.3532979887259</v>
          </cell>
          <cell r="N116">
            <v>-2437.632856292299</v>
          </cell>
          <cell r="O116">
            <v>-5155.7804261239871</v>
          </cell>
          <cell r="P116">
            <v>-7873.9279959556752</v>
          </cell>
          <cell r="Q116">
            <v>-10638.896119254134</v>
          </cell>
          <cell r="R116">
            <v>-14932.219765942784</v>
          </cell>
          <cell r="S116">
            <v>-19225.543412631436</v>
          </cell>
          <cell r="T116">
            <v>-25049.482548398715</v>
          </cell>
          <cell r="U116">
            <v>-30873.421684165995</v>
          </cell>
          <cell r="V116">
            <v>-36697.360819933274</v>
          </cell>
          <cell r="W116">
            <v>-42673.623982572644</v>
          </cell>
          <cell r="X116">
            <v>-48649.887145212015</v>
          </cell>
          <cell r="Y116">
            <v>-57124.463248581123</v>
          </cell>
          <cell r="Z116">
            <v>-67343.122358847875</v>
          </cell>
          <cell r="AA116">
            <v>-77561.78146911462</v>
          </cell>
          <cell r="AB116">
            <v>-87828.953473785878</v>
          </cell>
          <cell r="AC116">
            <v>-98096.125478457136</v>
          </cell>
          <cell r="AD116">
            <v>-110865.06669673715</v>
          </cell>
          <cell r="AE116">
            <v>-123760.99751840868</v>
          </cell>
          <cell r="AF116">
            <v>-128959.3082167153</v>
          </cell>
          <cell r="AG116">
            <v>-128959.3082167153</v>
          </cell>
          <cell r="AH116">
            <v>-128959.3082167153</v>
          </cell>
          <cell r="AI116">
            <v>-128959.3082167153</v>
          </cell>
          <cell r="AJ116">
            <v>-128959.3082167153</v>
          </cell>
          <cell r="AK116">
            <v>-128959.3082167153</v>
          </cell>
          <cell r="AL116">
            <v>-128959.3082167153</v>
          </cell>
        </row>
        <row r="117">
          <cell r="C117">
            <v>169</v>
          </cell>
          <cell r="D117" t="str">
            <v>NET FIXED ASSETS</v>
          </cell>
          <cell r="E117" t="str">
            <v>Th RON</v>
          </cell>
          <cell r="F117">
            <v>78150</v>
          </cell>
          <cell r="G117">
            <v>79660</v>
          </cell>
          <cell r="H117">
            <v>80480</v>
          </cell>
          <cell r="I117">
            <v>169177.23831640652</v>
          </cell>
          <cell r="J117">
            <v>155965.59448476587</v>
          </cell>
          <cell r="K117">
            <v>142753.95065312521</v>
          </cell>
          <cell r="L117">
            <v>130654.85660556977</v>
          </cell>
          <cell r="M117">
            <v>117331.9577955206</v>
          </cell>
          <cell r="N117">
            <v>125647.73910075257</v>
          </cell>
          <cell r="O117">
            <v>110160.97227917527</v>
          </cell>
          <cell r="P117">
            <v>95142.410992265708</v>
          </cell>
          <cell r="Q117">
            <v>94892.378851123591</v>
          </cell>
          <cell r="R117">
            <v>77830.435952689324</v>
          </cell>
          <cell r="S117">
            <v>76074.647945041361</v>
          </cell>
          <cell r="T117">
            <v>66303.508809274092</v>
          </cell>
          <cell r="U117">
            <v>56532.369673506808</v>
          </cell>
          <cell r="V117">
            <v>48284.470806460471</v>
          </cell>
          <cell r="W117">
            <v>38361.007643821118</v>
          </cell>
          <cell r="X117">
            <v>53420.673888479076</v>
          </cell>
          <cell r="Y117">
            <v>58439.727854086428</v>
          </cell>
          <cell r="Z117">
            <v>44273.868743819679</v>
          </cell>
          <cell r="AA117">
            <v>30593.138577597943</v>
          </cell>
          <cell r="AB117">
            <v>16378.766572926688</v>
          </cell>
          <cell r="AC117">
            <v>29593.286704342972</v>
          </cell>
          <cell r="AD117">
            <v>18094.241519978154</v>
          </cell>
          <cell r="AE117">
            <v>5198.3106983066245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</row>
        <row r="118">
          <cell r="C118">
            <v>170</v>
          </cell>
          <cell r="D118" t="str">
            <v>Stocks</v>
          </cell>
          <cell r="E118" t="str">
            <v>Th RON</v>
          </cell>
          <cell r="F118">
            <v>500</v>
          </cell>
          <cell r="G118">
            <v>600</v>
          </cell>
          <cell r="H118">
            <v>750</v>
          </cell>
          <cell r="I118">
            <v>2041.7090410876528</v>
          </cell>
          <cell r="J118">
            <v>2668.8523883413764</v>
          </cell>
          <cell r="K118">
            <v>2841.1944836122561</v>
          </cell>
          <cell r="L118">
            <v>3317.0512311457651</v>
          </cell>
          <cell r="M118">
            <v>3428.7551198179854</v>
          </cell>
          <cell r="N118">
            <v>3526.853200650216</v>
          </cell>
          <cell r="O118">
            <v>3614.8006140826392</v>
          </cell>
          <cell r="P118">
            <v>3702.3355624670685</v>
          </cell>
          <cell r="Q118">
            <v>3839.2826809729509</v>
          </cell>
          <cell r="R118">
            <v>3939.9220985828024</v>
          </cell>
          <cell r="S118">
            <v>3961.6062426048288</v>
          </cell>
          <cell r="T118">
            <v>4056.0211594865018</v>
          </cell>
          <cell r="U118">
            <v>4155.8852947599062</v>
          </cell>
          <cell r="V118">
            <v>4258.440654023042</v>
          </cell>
          <cell r="W118">
            <v>4362.8990452152211</v>
          </cell>
          <cell r="X118">
            <v>4469.6280604821359</v>
          </cell>
          <cell r="Y118">
            <v>4567.1964254331824</v>
          </cell>
          <cell r="Z118">
            <v>4693.3078302212261</v>
          </cell>
          <cell r="AA118">
            <v>4826.4505848352519</v>
          </cell>
          <cell r="AB118">
            <v>4955.4725531927415</v>
          </cell>
          <cell r="AC118">
            <v>5088.8356706852828</v>
          </cell>
          <cell r="AD118">
            <v>5226.5398860795976</v>
          </cell>
          <cell r="AE118">
            <v>4219.6405499818802</v>
          </cell>
          <cell r="AF118">
            <v>4354.0103169983204</v>
          </cell>
          <cell r="AG118">
            <v>4493.4519775386407</v>
          </cell>
          <cell r="AH118">
            <v>4637.8978595956278</v>
          </cell>
          <cell r="AI118">
            <v>4786.6729103198377</v>
          </cell>
          <cell r="AJ118">
            <v>4940.7784115080913</v>
          </cell>
          <cell r="AK118">
            <v>5100.7589432777841</v>
          </cell>
          <cell r="AL118">
            <v>4477.05599323549</v>
          </cell>
        </row>
        <row r="119">
          <cell r="C119">
            <v>171</v>
          </cell>
          <cell r="D119" t="str">
            <v>Accounts receivable and other current assets</v>
          </cell>
          <cell r="E119" t="str">
            <v>Th RON</v>
          </cell>
          <cell r="F119">
            <v>15000</v>
          </cell>
          <cell r="G119">
            <v>13500</v>
          </cell>
          <cell r="H119">
            <v>12500</v>
          </cell>
          <cell r="I119">
            <v>11693.631733329326</v>
          </cell>
          <cell r="J119">
            <v>11792.473228988798</v>
          </cell>
          <cell r="K119">
            <v>12475.187877680102</v>
          </cell>
          <cell r="L119">
            <v>13095.854410175047</v>
          </cell>
          <cell r="M119">
            <v>13465.673739493657</v>
          </cell>
          <cell r="N119">
            <v>13799.360981785472</v>
          </cell>
          <cell r="O119">
            <v>13944.265681481422</v>
          </cell>
          <cell r="P119">
            <v>14077.40816357065</v>
          </cell>
          <cell r="Q119">
            <v>14229.457177327713</v>
          </cell>
          <cell r="R119">
            <v>14387.682966451133</v>
          </cell>
          <cell r="S119">
            <v>14513.861364118176</v>
          </cell>
          <cell r="T119">
            <v>14619.340756994769</v>
          </cell>
          <cell r="U119">
            <v>14724.442845800972</v>
          </cell>
          <cell r="V119">
            <v>14868.902259357828</v>
          </cell>
          <cell r="W119">
            <v>15018.249497079132</v>
          </cell>
          <cell r="X119">
            <v>15170.937643063946</v>
          </cell>
          <cell r="Y119">
            <v>15321.198785150205</v>
          </cell>
          <cell r="Z119">
            <v>15481.997727186457</v>
          </cell>
          <cell r="AA119">
            <v>15655.651355704958</v>
          </cell>
          <cell r="AB119">
            <v>15844.612404547936</v>
          </cell>
          <cell r="AC119">
            <v>16037.102620240428</v>
          </cell>
          <cell r="AD119">
            <v>16231.812746846008</v>
          </cell>
          <cell r="AE119">
            <v>15873.707838616714</v>
          </cell>
          <cell r="AF119">
            <v>15516.092833155721</v>
          </cell>
          <cell r="AG119">
            <v>15159.323384332451</v>
          </cell>
          <cell r="AH119">
            <v>15362.875275011145</v>
          </cell>
          <cell r="AI119">
            <v>15573.437737094278</v>
          </cell>
          <cell r="AJ119">
            <v>15791.136601626067</v>
          </cell>
          <cell r="AK119">
            <v>16016.395662351395</v>
          </cell>
          <cell r="AL119">
            <v>15865.715429370344</v>
          </cell>
        </row>
        <row r="120">
          <cell r="C120">
            <v>172</v>
          </cell>
          <cell r="D120" t="str">
            <v>Cash in hand</v>
          </cell>
          <cell r="E120" t="str">
            <v>Th RON</v>
          </cell>
          <cell r="F120">
            <v>1000</v>
          </cell>
          <cell r="G120">
            <v>1200</v>
          </cell>
          <cell r="H120">
            <v>1500</v>
          </cell>
          <cell r="I120">
            <v>8166.8361643506114</v>
          </cell>
          <cell r="J120">
            <v>21934.453005895877</v>
          </cell>
          <cell r="K120">
            <v>40129.461088978111</v>
          </cell>
          <cell r="L120">
            <v>66511.756203443976</v>
          </cell>
          <cell r="M120">
            <v>92474.261446621109</v>
          </cell>
          <cell r="N120">
            <v>97080.700408376695</v>
          </cell>
          <cell r="O120">
            <v>116664.34949957227</v>
          </cell>
          <cell r="P120">
            <v>138812.85356218743</v>
          </cell>
          <cell r="Q120">
            <v>150223.09804012327</v>
          </cell>
          <cell r="R120">
            <v>176944.20864925894</v>
          </cell>
          <cell r="S120">
            <v>187729.00619572905</v>
          </cell>
          <cell r="T120">
            <v>215127.1496551022</v>
          </cell>
          <cell r="U120">
            <v>243279.65582109554</v>
          </cell>
          <cell r="V120">
            <v>270858.10446564556</v>
          </cell>
          <cell r="W120">
            <v>300928.25379754993</v>
          </cell>
          <cell r="X120">
            <v>307061.92188618926</v>
          </cell>
          <cell r="Y120">
            <v>321630.02823154215</v>
          </cell>
          <cell r="Z120">
            <v>355570.05905127287</v>
          </cell>
          <cell r="AA120">
            <v>390803.43520421832</v>
          </cell>
          <cell r="AB120">
            <v>427701.89143518312</v>
          </cell>
          <cell r="AC120">
            <v>441782.32426863699</v>
          </cell>
          <cell r="AD120">
            <v>480364.37153536727</v>
          </cell>
          <cell r="AE120">
            <v>571285.38901674969</v>
          </cell>
          <cell r="AF120">
            <v>653930.03195229801</v>
          </cell>
          <cell r="AG120">
            <v>737244.78459858021</v>
          </cell>
          <cell r="AH120">
            <v>821929.14675416052</v>
          </cell>
          <cell r="AI120">
            <v>909188.43783111451</v>
          </cell>
          <cell r="AJ120">
            <v>999260.59077096917</v>
          </cell>
          <cell r="AK120">
            <v>1092255.2036590017</v>
          </cell>
          <cell r="AL120">
            <v>1168660.1914395946</v>
          </cell>
        </row>
        <row r="121">
          <cell r="C121">
            <v>173</v>
          </cell>
          <cell r="D121" t="str">
            <v>CURRENT ASSETS</v>
          </cell>
          <cell r="E121" t="str">
            <v>Th RON</v>
          </cell>
          <cell r="F121">
            <v>16500</v>
          </cell>
          <cell r="G121">
            <v>15300</v>
          </cell>
          <cell r="H121">
            <v>14750</v>
          </cell>
          <cell r="I121">
            <v>21902.176938767592</v>
          </cell>
          <cell r="J121">
            <v>36395.778623226055</v>
          </cell>
          <cell r="K121">
            <v>55445.843450270469</v>
          </cell>
          <cell r="L121">
            <v>82924.661844764792</v>
          </cell>
          <cell r="M121">
            <v>109368.69030593275</v>
          </cell>
          <cell r="N121">
            <v>114406.91459081238</v>
          </cell>
          <cell r="O121">
            <v>134223.41579513633</v>
          </cell>
          <cell r="P121">
            <v>156592.59728822514</v>
          </cell>
          <cell r="Q121">
            <v>168291.83789842392</v>
          </cell>
          <cell r="R121">
            <v>195271.81371429289</v>
          </cell>
          <cell r="S121">
            <v>206204.47380245206</v>
          </cell>
          <cell r="T121">
            <v>233802.51157158345</v>
          </cell>
          <cell r="U121">
            <v>262159.9839616564</v>
          </cell>
          <cell r="V121">
            <v>289985.44737902645</v>
          </cell>
          <cell r="W121">
            <v>320309.40233984427</v>
          </cell>
          <cell r="X121">
            <v>326702.48758973536</v>
          </cell>
          <cell r="Y121">
            <v>341518.42344212555</v>
          </cell>
          <cell r="Z121">
            <v>375745.36460868054</v>
          </cell>
          <cell r="AA121">
            <v>411285.53714475851</v>
          </cell>
          <cell r="AB121">
            <v>448501.9763929238</v>
          </cell>
          <cell r="AC121">
            <v>462908.26255956269</v>
          </cell>
          <cell r="AD121">
            <v>501822.72416829289</v>
          </cell>
          <cell r="AE121">
            <v>591378.73740534834</v>
          </cell>
          <cell r="AF121">
            <v>673800.13510245201</v>
          </cell>
          <cell r="AG121">
            <v>756897.55996045133</v>
          </cell>
          <cell r="AH121">
            <v>841929.9198887673</v>
          </cell>
          <cell r="AI121">
            <v>929548.54847852862</v>
          </cell>
          <cell r="AJ121">
            <v>1019992.5057841033</v>
          </cell>
          <cell r="AK121">
            <v>1113372.3582646309</v>
          </cell>
          <cell r="AL121">
            <v>1189002.9628622003</v>
          </cell>
        </row>
        <row r="122">
          <cell r="C122">
            <v>174</v>
          </cell>
          <cell r="D122" t="str">
            <v>TOTAL ASSETS</v>
          </cell>
          <cell r="E122" t="str">
            <v>Th RON</v>
          </cell>
          <cell r="F122">
            <v>94650</v>
          </cell>
          <cell r="G122">
            <v>94960</v>
          </cell>
          <cell r="H122">
            <v>95230</v>
          </cell>
          <cell r="I122">
            <v>191079.41525517413</v>
          </cell>
          <cell r="J122">
            <v>192361.37310799194</v>
          </cell>
          <cell r="K122">
            <v>198199.79410339569</v>
          </cell>
          <cell r="L122">
            <v>213579.51845033455</v>
          </cell>
          <cell r="M122">
            <v>226700.64810145335</v>
          </cell>
          <cell r="N122">
            <v>240054.65369156495</v>
          </cell>
          <cell r="O122">
            <v>244384.3880743116</v>
          </cell>
          <cell r="P122">
            <v>251735.00828049085</v>
          </cell>
          <cell r="Q122">
            <v>263184.21674954752</v>
          </cell>
          <cell r="R122">
            <v>273102.24966698221</v>
          </cell>
          <cell r="S122">
            <v>282279.12174749339</v>
          </cell>
          <cell r="T122">
            <v>300106.02038085752</v>
          </cell>
          <cell r="U122">
            <v>318692.35363516322</v>
          </cell>
          <cell r="V122">
            <v>338269.91818548692</v>
          </cell>
          <cell r="W122">
            <v>358670.40998366539</v>
          </cell>
          <cell r="X122">
            <v>380123.16147821443</v>
          </cell>
          <cell r="Y122">
            <v>399958.15129621199</v>
          </cell>
          <cell r="Z122">
            <v>420019.23335250025</v>
          </cell>
          <cell r="AA122">
            <v>441878.67572235642</v>
          </cell>
          <cell r="AB122">
            <v>464880.74296585051</v>
          </cell>
          <cell r="AC122">
            <v>492501.54926390568</v>
          </cell>
          <cell r="AD122">
            <v>519916.96568827104</v>
          </cell>
          <cell r="AE122">
            <v>596577.04810365499</v>
          </cell>
          <cell r="AF122">
            <v>673800.13510245201</v>
          </cell>
          <cell r="AG122">
            <v>756897.55996045133</v>
          </cell>
          <cell r="AH122">
            <v>841929.9198887673</v>
          </cell>
          <cell r="AI122">
            <v>929548.54847852862</v>
          </cell>
          <cell r="AJ122">
            <v>1019992.5057841033</v>
          </cell>
          <cell r="AK122">
            <v>1113372.3582646309</v>
          </cell>
          <cell r="AL122">
            <v>1189002.9628622003</v>
          </cell>
        </row>
        <row r="123">
          <cell r="C123">
            <v>175</v>
          </cell>
          <cell r="D123" t="str">
            <v>Shareholders' contributions</v>
          </cell>
          <cell r="E123" t="str">
            <v>Th RON</v>
          </cell>
          <cell r="F123">
            <v>100000</v>
          </cell>
          <cell r="G123">
            <v>100000</v>
          </cell>
          <cell r="H123">
            <v>100000</v>
          </cell>
          <cell r="I123">
            <v>100000</v>
          </cell>
          <cell r="J123">
            <v>100000</v>
          </cell>
          <cell r="K123">
            <v>100000</v>
          </cell>
          <cell r="L123">
            <v>100000</v>
          </cell>
          <cell r="M123">
            <v>100000</v>
          </cell>
          <cell r="N123">
            <v>100000</v>
          </cell>
          <cell r="O123">
            <v>100000</v>
          </cell>
          <cell r="P123">
            <v>100000</v>
          </cell>
          <cell r="Q123">
            <v>100000</v>
          </cell>
          <cell r="R123">
            <v>100000</v>
          </cell>
          <cell r="S123">
            <v>100000</v>
          </cell>
          <cell r="T123">
            <v>100000</v>
          </cell>
          <cell r="U123">
            <v>100000</v>
          </cell>
          <cell r="V123">
            <v>100000</v>
          </cell>
          <cell r="W123">
            <v>100000</v>
          </cell>
          <cell r="X123">
            <v>100000</v>
          </cell>
          <cell r="Y123">
            <v>100000</v>
          </cell>
          <cell r="Z123">
            <v>100000</v>
          </cell>
          <cell r="AA123">
            <v>100000</v>
          </cell>
          <cell r="AB123">
            <v>100000</v>
          </cell>
          <cell r="AC123">
            <v>100000</v>
          </cell>
          <cell r="AD123">
            <v>100000</v>
          </cell>
          <cell r="AE123">
            <v>100000</v>
          </cell>
          <cell r="AF123">
            <v>100000</v>
          </cell>
          <cell r="AG123">
            <v>100000</v>
          </cell>
          <cell r="AH123">
            <v>100000</v>
          </cell>
          <cell r="AI123">
            <v>100000</v>
          </cell>
          <cell r="AJ123">
            <v>100000</v>
          </cell>
          <cell r="AK123">
            <v>100000</v>
          </cell>
          <cell r="AL123">
            <v>100000</v>
          </cell>
        </row>
        <row r="124">
          <cell r="C124">
            <v>176</v>
          </cell>
          <cell r="D124" t="str">
            <v>Retained earnings</v>
          </cell>
          <cell r="E124" t="str">
            <v>Th RON</v>
          </cell>
          <cell r="F124">
            <v>-7450</v>
          </cell>
          <cell r="G124">
            <v>-7460</v>
          </cell>
          <cell r="H124">
            <v>-7530</v>
          </cell>
          <cell r="I124">
            <v>7181.8676821577083</v>
          </cell>
          <cell r="J124">
            <v>16326.321071019895</v>
          </cell>
          <cell r="K124">
            <v>27572.692456134559</v>
          </cell>
          <cell r="L124">
            <v>46111.647654291533</v>
          </cell>
          <cell r="M124">
            <v>65292.578929792013</v>
          </cell>
          <cell r="N124">
            <v>85144.209132080607</v>
          </cell>
          <cell r="O124">
            <v>98389.21767466185</v>
          </cell>
          <cell r="P124">
            <v>112324.27874797073</v>
          </cell>
          <cell r="Q124">
            <v>129470.16006904903</v>
          </cell>
          <cell r="R124">
            <v>146316.46038683367</v>
          </cell>
          <cell r="S124">
            <v>162655.84881841103</v>
          </cell>
          <cell r="T124">
            <v>180396.57106198001</v>
          </cell>
          <cell r="U124">
            <v>199068.18634085552</v>
          </cell>
          <cell r="V124">
            <v>218736.58456206779</v>
          </cell>
          <cell r="W124">
            <v>239293.13563110979</v>
          </cell>
          <cell r="X124">
            <v>260885.56585738924</v>
          </cell>
          <cell r="Y124">
            <v>281550.15859870438</v>
          </cell>
          <cell r="Z124">
            <v>302146.28474533511</v>
          </cell>
          <cell r="AA124">
            <v>324106.44977498142</v>
          </cell>
          <cell r="AB124">
            <v>347303.06092685129</v>
          </cell>
          <cell r="AC124">
            <v>373642.7185755886</v>
          </cell>
          <cell r="AD124">
            <v>400587.4410850245</v>
          </cell>
          <cell r="AE124">
            <v>466639.40747953684</v>
          </cell>
          <cell r="AF124">
            <v>540933.57396315958</v>
          </cell>
          <cell r="AG124">
            <v>621672.167987074</v>
          </cell>
          <cell r="AH124">
            <v>705438.44686104578</v>
          </cell>
          <cell r="AI124">
            <v>791892.15424345946</v>
          </cell>
          <cell r="AJ124">
            <v>881129.4830499863</v>
          </cell>
          <cell r="AK124">
            <v>973256.66919002205</v>
          </cell>
          <cell r="AL124">
            <v>1053855.4785444173</v>
          </cell>
        </row>
        <row r="125">
          <cell r="C125">
            <v>177</v>
          </cell>
          <cell r="D125" t="str">
            <v>EQUITY</v>
          </cell>
          <cell r="E125" t="str">
            <v>Th RON</v>
          </cell>
          <cell r="F125">
            <v>92550</v>
          </cell>
          <cell r="G125">
            <v>92540</v>
          </cell>
          <cell r="H125">
            <v>92470</v>
          </cell>
          <cell r="I125">
            <v>107181.86768215771</v>
          </cell>
          <cell r="J125">
            <v>116326.32107101989</v>
          </cell>
          <cell r="K125">
            <v>127572.69245613457</v>
          </cell>
          <cell r="L125">
            <v>146111.64765429153</v>
          </cell>
          <cell r="M125">
            <v>165292.57892979201</v>
          </cell>
          <cell r="N125">
            <v>185144.20913208061</v>
          </cell>
          <cell r="O125">
            <v>198389.21767466184</v>
          </cell>
          <cell r="P125">
            <v>212324.27874797073</v>
          </cell>
          <cell r="Q125">
            <v>229470.16006904904</v>
          </cell>
          <cell r="R125">
            <v>246316.46038683367</v>
          </cell>
          <cell r="S125">
            <v>262655.848818411</v>
          </cell>
          <cell r="T125">
            <v>280396.57106197998</v>
          </cell>
          <cell r="U125">
            <v>299068.18634085555</v>
          </cell>
          <cell r="V125">
            <v>318736.58456206776</v>
          </cell>
          <cell r="W125">
            <v>339293.13563110982</v>
          </cell>
          <cell r="X125">
            <v>360885.56585738924</v>
          </cell>
          <cell r="Y125">
            <v>381550.15859870438</v>
          </cell>
          <cell r="Z125">
            <v>402146.28474533511</v>
          </cell>
          <cell r="AA125">
            <v>424106.44977498142</v>
          </cell>
          <cell r="AB125">
            <v>447303.06092685129</v>
          </cell>
          <cell r="AC125">
            <v>473642.7185755886</v>
          </cell>
          <cell r="AD125">
            <v>500587.4410850245</v>
          </cell>
          <cell r="AE125">
            <v>566639.40747953684</v>
          </cell>
          <cell r="AF125">
            <v>640933.57396315958</v>
          </cell>
          <cell r="AG125">
            <v>721672.167987074</v>
          </cell>
          <cell r="AH125">
            <v>805438.44686104578</v>
          </cell>
          <cell r="AI125">
            <v>891892.15424345946</v>
          </cell>
          <cell r="AJ125">
            <v>981129.4830499863</v>
          </cell>
          <cell r="AK125">
            <v>1073256.6691900222</v>
          </cell>
          <cell r="AL125">
            <v>1153855.4785444173</v>
          </cell>
        </row>
        <row r="126">
          <cell r="C126">
            <v>178</v>
          </cell>
          <cell r="D126" t="str">
            <v>Investment grants</v>
          </cell>
          <cell r="E126" t="str">
            <v>Th RON</v>
          </cell>
          <cell r="F126">
            <v>150</v>
          </cell>
          <cell r="G126">
            <v>160</v>
          </cell>
          <cell r="H126">
            <v>180</v>
          </cell>
          <cell r="I126">
            <v>65342.726735225588</v>
          </cell>
          <cell r="J126">
            <v>65342.726735225588</v>
          </cell>
          <cell r="K126">
            <v>65342.726735225588</v>
          </cell>
          <cell r="L126">
            <v>65342.726735225588</v>
          </cell>
          <cell r="M126">
            <v>65342.726735225588</v>
          </cell>
          <cell r="N126">
            <v>65342.726735225588</v>
          </cell>
          <cell r="O126">
            <v>65342.726735225588</v>
          </cell>
          <cell r="P126">
            <v>65342.726735225588</v>
          </cell>
          <cell r="Q126">
            <v>65342.726735225588</v>
          </cell>
          <cell r="R126">
            <v>65342.726735225588</v>
          </cell>
          <cell r="S126">
            <v>65342.726735225588</v>
          </cell>
          <cell r="T126">
            <v>65342.726735225588</v>
          </cell>
          <cell r="U126">
            <v>65342.726735225588</v>
          </cell>
          <cell r="V126">
            <v>65342.726735225588</v>
          </cell>
          <cell r="W126">
            <v>65342.726735225588</v>
          </cell>
          <cell r="X126">
            <v>65342.726735225588</v>
          </cell>
          <cell r="Y126">
            <v>65342.726735225588</v>
          </cell>
          <cell r="Z126">
            <v>65342.726735225588</v>
          </cell>
          <cell r="AA126">
            <v>65342.726735225588</v>
          </cell>
          <cell r="AB126">
            <v>65342.726735225588</v>
          </cell>
          <cell r="AC126">
            <v>65342.726735225588</v>
          </cell>
          <cell r="AD126">
            <v>65342.726735225588</v>
          </cell>
          <cell r="AE126">
            <v>65342.726735225588</v>
          </cell>
          <cell r="AF126">
            <v>65342.726735225588</v>
          </cell>
          <cell r="AG126">
            <v>65342.726735225588</v>
          </cell>
          <cell r="AH126">
            <v>65342.726735225588</v>
          </cell>
          <cell r="AI126">
            <v>65342.726735225588</v>
          </cell>
          <cell r="AJ126">
            <v>65342.726735225588</v>
          </cell>
          <cell r="AK126">
            <v>65342.726735225588</v>
          </cell>
          <cell r="AL126">
            <v>65342.726735225588</v>
          </cell>
        </row>
        <row r="127">
          <cell r="C127">
            <v>179</v>
          </cell>
          <cell r="D127" t="str">
            <v>less transfers to income statement</v>
          </cell>
          <cell r="E127" t="str">
            <v>Th RON</v>
          </cell>
          <cell r="F127">
            <v>0</v>
          </cell>
          <cell r="G127">
            <v>0</v>
          </cell>
          <cell r="H127">
            <v>0</v>
          </cell>
          <cell r="I127">
            <v>-18</v>
          </cell>
          <cell r="J127">
            <v>-6552.2726735225588</v>
          </cell>
          <cell r="K127">
            <v>-13086.545347045118</v>
          </cell>
          <cell r="L127">
            <v>-19620.818020567676</v>
          </cell>
          <cell r="M127">
            <v>-26155.090694090235</v>
          </cell>
          <cell r="N127">
            <v>-32689.363367612794</v>
          </cell>
          <cell r="O127">
            <v>-39223.636041135353</v>
          </cell>
          <cell r="P127">
            <v>-45757.908714657911</v>
          </cell>
          <cell r="Q127">
            <v>-52292.18138818047</v>
          </cell>
          <cell r="R127">
            <v>-58826.454061703029</v>
          </cell>
          <cell r="S127">
            <v>-65342.726735225588</v>
          </cell>
          <cell r="T127">
            <v>-65342.726735225588</v>
          </cell>
          <cell r="U127">
            <v>-65342.726735225588</v>
          </cell>
          <cell r="V127">
            <v>-65342.726735225588</v>
          </cell>
          <cell r="W127">
            <v>-65342.726735225588</v>
          </cell>
          <cell r="X127">
            <v>-65342.726735225588</v>
          </cell>
          <cell r="Y127">
            <v>-65342.726735225588</v>
          </cell>
          <cell r="Z127">
            <v>-65342.726735225588</v>
          </cell>
          <cell r="AA127">
            <v>-65342.726735225588</v>
          </cell>
          <cell r="AB127">
            <v>-65342.726735225588</v>
          </cell>
          <cell r="AC127">
            <v>-65342.726735225588</v>
          </cell>
          <cell r="AD127">
            <v>-65342.726735225588</v>
          </cell>
          <cell r="AE127">
            <v>-65342.726735225588</v>
          </cell>
          <cell r="AF127">
            <v>-65342.726735225588</v>
          </cell>
          <cell r="AG127">
            <v>-65342.726735225588</v>
          </cell>
          <cell r="AH127">
            <v>-65342.726735225588</v>
          </cell>
          <cell r="AI127">
            <v>-65342.726735225588</v>
          </cell>
          <cell r="AJ127">
            <v>-65342.726735225588</v>
          </cell>
          <cell r="AK127">
            <v>-65342.726735225588</v>
          </cell>
          <cell r="AL127">
            <v>-65342.726735225588</v>
          </cell>
        </row>
        <row r="128">
          <cell r="C128">
            <v>180</v>
          </cell>
          <cell r="D128" t="str">
            <v>Loans</v>
          </cell>
          <cell r="E128" t="str">
            <v>Th RON</v>
          </cell>
          <cell r="F128">
            <v>0</v>
          </cell>
          <cell r="G128">
            <v>0</v>
          </cell>
          <cell r="H128">
            <v>0</v>
          </cell>
          <cell r="I128">
            <v>8639.9796784971622</v>
          </cell>
          <cell r="J128">
            <v>8775.508771493196</v>
          </cell>
          <cell r="K128">
            <v>8878.7500511578219</v>
          </cell>
          <cell r="L128">
            <v>8948.3873064610198</v>
          </cell>
          <cell r="M128">
            <v>8992.2519501201423</v>
          </cell>
          <cell r="N128">
            <v>8616.2348840125087</v>
          </cell>
          <cell r="O128">
            <v>8191.6344504237313</v>
          </cell>
          <cell r="P128">
            <v>7743.6809929875717</v>
          </cell>
          <cell r="Q128">
            <v>7271.0900953924229</v>
          </cell>
          <cell r="R128">
            <v>6772.5066984295408</v>
          </cell>
          <cell r="S128">
            <v>6246.5012146336985</v>
          </cell>
          <cell r="T128">
            <v>5691.5654292290874</v>
          </cell>
          <cell r="U128">
            <v>5106.1081756272224</v>
          </cell>
          <cell r="V128">
            <v>4488.4507730772548</v>
          </cell>
          <cell r="W128">
            <v>3836.8222133870386</v>
          </cell>
          <cell r="X128">
            <v>3149.3540829138615</v>
          </cell>
          <cell r="Y128">
            <v>2424.0752052646585</v>
          </cell>
          <cell r="Z128">
            <v>1658.9059893447497</v>
          </cell>
          <cell r="AA128">
            <v>851.6524665492459</v>
          </cell>
          <cell r="AB128">
            <v>-1.0572875908110291E-11</v>
          </cell>
          <cell r="AC128">
            <v>-1.0572875908110291E-11</v>
          </cell>
          <cell r="AD128">
            <v>-1.0572875908110291E-11</v>
          </cell>
          <cell r="AE128">
            <v>-1.0572875908110291E-11</v>
          </cell>
          <cell r="AF128">
            <v>-1.0572875908110291E-11</v>
          </cell>
          <cell r="AG128">
            <v>-1.0572875908110291E-11</v>
          </cell>
          <cell r="AH128">
            <v>-1.0572875908110291E-11</v>
          </cell>
          <cell r="AI128">
            <v>-1.0572875908110291E-11</v>
          </cell>
          <cell r="AJ128">
            <v>-1.0572875908110291E-11</v>
          </cell>
          <cell r="AK128">
            <v>-1.0572875908110291E-11</v>
          </cell>
          <cell r="AL128">
            <v>-1.0572875908110291E-11</v>
          </cell>
        </row>
        <row r="129">
          <cell r="C129">
            <v>181</v>
          </cell>
          <cell r="D129" t="str">
            <v>Bank overdraft</v>
          </cell>
          <cell r="E129" t="str">
            <v>Th RON</v>
          </cell>
          <cell r="F129">
            <v>0</v>
          </cell>
          <cell r="G129">
            <v>0</v>
          </cell>
          <cell r="H129">
            <v>0</v>
          </cell>
          <cell r="I129">
            <v>921.14832255952922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</row>
        <row r="130">
          <cell r="C130">
            <v>182</v>
          </cell>
          <cell r="D130" t="str">
            <v>Accounts payable and other current liabilites</v>
          </cell>
          <cell r="E130" t="str">
            <v>Th RON</v>
          </cell>
          <cell r="F130">
            <v>1800</v>
          </cell>
          <cell r="G130">
            <v>2100</v>
          </cell>
          <cell r="H130">
            <v>2400</v>
          </cell>
          <cell r="I130">
            <v>4083.4180821753057</v>
          </cell>
          <cell r="J130">
            <v>5337.7047766827527</v>
          </cell>
          <cell r="K130">
            <v>5682.3889672245123</v>
          </cell>
          <cell r="L130">
            <v>6634.1024622915302</v>
          </cell>
          <cell r="M130">
            <v>6857.5102396359707</v>
          </cell>
          <cell r="N130">
            <v>7053.7064013004319</v>
          </cell>
          <cell r="O130">
            <v>7229.6012281652784</v>
          </cell>
          <cell r="P130">
            <v>7404.671124934137</v>
          </cell>
          <cell r="Q130">
            <v>7678.5653619459017</v>
          </cell>
          <cell r="R130">
            <v>7879.8441971656048</v>
          </cell>
          <cell r="S130">
            <v>7923.2124852096576</v>
          </cell>
          <cell r="T130">
            <v>8112.0423189730036</v>
          </cell>
          <cell r="U130">
            <v>8311.7705895198123</v>
          </cell>
          <cell r="V130">
            <v>8516.8813080460841</v>
          </cell>
          <cell r="W130">
            <v>8725.7980904304422</v>
          </cell>
          <cell r="X130">
            <v>8939.2561209642718</v>
          </cell>
          <cell r="Y130">
            <v>9134.3928508663648</v>
          </cell>
          <cell r="Z130">
            <v>9386.6156604424523</v>
          </cell>
          <cell r="AA130">
            <v>9652.9011696705038</v>
          </cell>
          <cell r="AB130">
            <v>9910.9451063854831</v>
          </cell>
          <cell r="AC130">
            <v>10177.671341370566</v>
          </cell>
          <cell r="AD130">
            <v>10453.079772159195</v>
          </cell>
          <cell r="AE130">
            <v>8439.2810999637604</v>
          </cell>
          <cell r="AF130">
            <v>8708.0206339966408</v>
          </cell>
          <cell r="AG130">
            <v>8986.9039550772814</v>
          </cell>
          <cell r="AH130">
            <v>9275.7957191912556</v>
          </cell>
          <cell r="AI130">
            <v>9573.3458206396754</v>
          </cell>
          <cell r="AJ130">
            <v>9881.5568230161825</v>
          </cell>
          <cell r="AK130">
            <v>10201.517886555568</v>
          </cell>
          <cell r="AL130">
            <v>8954.1119864709799</v>
          </cell>
        </row>
        <row r="131">
          <cell r="C131">
            <v>183</v>
          </cell>
          <cell r="D131" t="str">
            <v>Taxes and dividends</v>
          </cell>
          <cell r="E131" t="str">
            <v>Th RON</v>
          </cell>
          <cell r="F131">
            <v>0</v>
          </cell>
          <cell r="G131">
            <v>0</v>
          </cell>
          <cell r="H131">
            <v>0</v>
          </cell>
          <cell r="I131">
            <v>4748.2747545588372</v>
          </cell>
          <cell r="J131">
            <v>2951.3844270930877</v>
          </cell>
          <cell r="K131">
            <v>3629.781240698384</v>
          </cell>
          <cell r="L131">
            <v>5983.4723126326735</v>
          </cell>
          <cell r="M131">
            <v>6190.6709407699946</v>
          </cell>
          <cell r="N131">
            <v>6407.139906558752</v>
          </cell>
          <cell r="O131">
            <v>4274.8440269706689</v>
          </cell>
          <cell r="P131">
            <v>4497.5593940309082</v>
          </cell>
          <cell r="Q131">
            <v>5533.8558761152144</v>
          </cell>
          <cell r="R131">
            <v>5437.1657110310243</v>
          </cell>
          <cell r="S131">
            <v>5273.5592292392521</v>
          </cell>
          <cell r="T131">
            <v>5725.841570675695</v>
          </cell>
          <cell r="U131">
            <v>6026.2885291608836</v>
          </cell>
          <cell r="V131">
            <v>6348.0015422960223</v>
          </cell>
          <cell r="W131">
            <v>6634.6540487384254</v>
          </cell>
          <cell r="X131">
            <v>6968.9854169473438</v>
          </cell>
          <cell r="Y131">
            <v>6669.5246413768436</v>
          </cell>
          <cell r="Z131">
            <v>6647.426957378173</v>
          </cell>
          <cell r="AA131">
            <v>7087.6723111556712</v>
          </cell>
          <cell r="AB131">
            <v>7486.7369326140943</v>
          </cell>
          <cell r="AC131">
            <v>8501.1593469469517</v>
          </cell>
          <cell r="AD131">
            <v>8696.4448310877797</v>
          </cell>
          <cell r="AE131">
            <v>21318.359524154763</v>
          </cell>
          <cell r="AF131">
            <v>23978.540505296241</v>
          </cell>
          <cell r="AG131">
            <v>26058.488018300424</v>
          </cell>
          <cell r="AH131">
            <v>27035.67730853059</v>
          </cell>
          <cell r="AI131">
            <v>27903.048414429821</v>
          </cell>
          <cell r="AJ131">
            <v>28801.465911101255</v>
          </cell>
          <cell r="AK131">
            <v>29734.17118805385</v>
          </cell>
          <cell r="AL131">
            <v>26013.372331312734</v>
          </cell>
        </row>
        <row r="132">
          <cell r="C132">
            <v>184</v>
          </cell>
          <cell r="D132" t="str">
            <v>LIABILITIES</v>
          </cell>
          <cell r="E132" t="str">
            <v>Th RON</v>
          </cell>
          <cell r="F132">
            <v>1950</v>
          </cell>
          <cell r="G132">
            <v>2260</v>
          </cell>
          <cell r="H132">
            <v>2580</v>
          </cell>
          <cell r="I132">
            <v>83717.547573016418</v>
          </cell>
          <cell r="J132">
            <v>75855.052036972076</v>
          </cell>
          <cell r="K132">
            <v>70447.101647261195</v>
          </cell>
          <cell r="L132">
            <v>67287.870796043135</v>
          </cell>
          <cell r="M132">
            <v>61228.069171661467</v>
          </cell>
          <cell r="N132">
            <v>54730.444559484487</v>
          </cell>
          <cell r="O132">
            <v>45815.17039964992</v>
          </cell>
          <cell r="P132">
            <v>39230.729532520287</v>
          </cell>
          <cell r="Q132">
            <v>33534.056680498652</v>
          </cell>
          <cell r="R132">
            <v>26605.789280148732</v>
          </cell>
          <cell r="S132">
            <v>19443.27292908261</v>
          </cell>
          <cell r="T132">
            <v>19529.449318877785</v>
          </cell>
          <cell r="U132">
            <v>19444.167294307917</v>
          </cell>
          <cell r="V132">
            <v>19353.333623419363</v>
          </cell>
          <cell r="W132">
            <v>19197.274352555905</v>
          </cell>
          <cell r="X132">
            <v>19057.595620825479</v>
          </cell>
          <cell r="Y132">
            <v>18227.992697507867</v>
          </cell>
          <cell r="Z132">
            <v>17692.948607165374</v>
          </cell>
          <cell r="AA132">
            <v>17592.22594737542</v>
          </cell>
          <cell r="AB132">
            <v>17397.682038999566</v>
          </cell>
          <cell r="AC132">
            <v>18678.830688317506</v>
          </cell>
          <cell r="AD132">
            <v>19149.524603246966</v>
          </cell>
          <cell r="AE132">
            <v>29757.64062411851</v>
          </cell>
          <cell r="AF132">
            <v>32686.561139292869</v>
          </cell>
          <cell r="AG132">
            <v>35045.391973377693</v>
          </cell>
          <cell r="AH132">
            <v>36311.473027721833</v>
          </cell>
          <cell r="AI132">
            <v>37476.394235069485</v>
          </cell>
          <cell r="AJ132">
            <v>38683.022734117425</v>
          </cell>
          <cell r="AK132">
            <v>39935.689074609407</v>
          </cell>
          <cell r="AL132">
            <v>34967.484317783703</v>
          </cell>
        </row>
        <row r="133">
          <cell r="C133">
            <v>185</v>
          </cell>
          <cell r="D133" t="str">
            <v>TOTAL EQUITY AND LIABILITIES</v>
          </cell>
          <cell r="E133" t="str">
            <v>Th RON</v>
          </cell>
          <cell r="F133">
            <v>94500</v>
          </cell>
          <cell r="G133">
            <v>94800</v>
          </cell>
          <cell r="H133">
            <v>95050</v>
          </cell>
          <cell r="I133">
            <v>190899.41525517413</v>
          </cell>
          <cell r="J133">
            <v>192181.37310799197</v>
          </cell>
          <cell r="K133">
            <v>198019.79410339578</v>
          </cell>
          <cell r="L133">
            <v>213399.51845033467</v>
          </cell>
          <cell r="M133">
            <v>226520.64810145349</v>
          </cell>
          <cell r="N133">
            <v>239874.65369156509</v>
          </cell>
          <cell r="O133">
            <v>244204.38807431175</v>
          </cell>
          <cell r="P133">
            <v>251555.00828049102</v>
          </cell>
          <cell r="Q133">
            <v>263004.21674954769</v>
          </cell>
          <cell r="R133">
            <v>272922.24966698239</v>
          </cell>
          <cell r="S133">
            <v>282099.12174749363</v>
          </cell>
          <cell r="T133">
            <v>299926.02038085775</v>
          </cell>
          <cell r="U133">
            <v>318512.35363516345</v>
          </cell>
          <cell r="V133">
            <v>338089.9181854871</v>
          </cell>
          <cell r="W133">
            <v>358490.40998366574</v>
          </cell>
          <cell r="X133">
            <v>379943.16147821472</v>
          </cell>
          <cell r="Y133">
            <v>399778.15129621222</v>
          </cell>
          <cell r="Z133">
            <v>419839.23335250048</v>
          </cell>
          <cell r="AA133">
            <v>441698.67572235683</v>
          </cell>
          <cell r="AB133">
            <v>464700.74296585086</v>
          </cell>
          <cell r="AC133">
            <v>492321.54926390608</v>
          </cell>
          <cell r="AD133">
            <v>519736.96568827145</v>
          </cell>
          <cell r="AE133">
            <v>596397.04810365534</v>
          </cell>
          <cell r="AF133">
            <v>673620.13510245248</v>
          </cell>
          <cell r="AG133">
            <v>756717.55996045168</v>
          </cell>
          <cell r="AH133">
            <v>841749.91988876765</v>
          </cell>
          <cell r="AI133">
            <v>929368.54847852897</v>
          </cell>
          <cell r="AJ133">
            <v>1019812.5057841038</v>
          </cell>
          <cell r="AK133">
            <v>1113192.3582646316</v>
          </cell>
          <cell r="AL133">
            <v>1188822.962862201</v>
          </cell>
        </row>
        <row r="134">
          <cell r="E134" t="str">
            <v>Control</v>
          </cell>
          <cell r="F134">
            <v>150</v>
          </cell>
          <cell r="G134">
            <v>160</v>
          </cell>
          <cell r="H134">
            <v>180</v>
          </cell>
          <cell r="I134">
            <v>180</v>
          </cell>
          <cell r="J134">
            <v>179.9999999999709</v>
          </cell>
          <cell r="K134">
            <v>179.99999999991269</v>
          </cell>
          <cell r="L134">
            <v>179.99999999988358</v>
          </cell>
          <cell r="M134">
            <v>179.99999999985448</v>
          </cell>
          <cell r="N134">
            <v>179.99999999985448</v>
          </cell>
          <cell r="O134">
            <v>179.99999999985448</v>
          </cell>
          <cell r="P134">
            <v>179.99999999982538</v>
          </cell>
          <cell r="Q134">
            <v>179.99999999982538</v>
          </cell>
          <cell r="R134">
            <v>179.99999999982538</v>
          </cell>
          <cell r="S134">
            <v>179.99999999976717</v>
          </cell>
          <cell r="T134">
            <v>179.99999999976717</v>
          </cell>
          <cell r="U134">
            <v>179.99999999976717</v>
          </cell>
          <cell r="V134">
            <v>179.99999999982538</v>
          </cell>
          <cell r="W134">
            <v>179.99999999965075</v>
          </cell>
          <cell r="X134">
            <v>179.99999999970896</v>
          </cell>
          <cell r="Y134">
            <v>179.99999999976717</v>
          </cell>
          <cell r="Z134">
            <v>179.99999999976717</v>
          </cell>
          <cell r="AA134">
            <v>179.99999999959255</v>
          </cell>
          <cell r="AB134">
            <v>179.99999999965075</v>
          </cell>
          <cell r="AC134">
            <v>179.99999999959255</v>
          </cell>
          <cell r="AD134">
            <v>179.99999999959255</v>
          </cell>
          <cell r="AE134">
            <v>179.99999999965075</v>
          </cell>
          <cell r="AF134">
            <v>179.99999999953434</v>
          </cell>
          <cell r="AG134">
            <v>179.99999999965075</v>
          </cell>
          <cell r="AH134">
            <v>179.99999999965075</v>
          </cell>
          <cell r="AI134">
            <v>179.99999999965075</v>
          </cell>
          <cell r="AJ134">
            <v>179.99999999953434</v>
          </cell>
          <cell r="AK134">
            <v>179.99999999930151</v>
          </cell>
          <cell r="AL134">
            <v>179.99999999930151</v>
          </cell>
        </row>
        <row r="137">
          <cell r="C137" t="str">
            <v>RATIOS</v>
          </cell>
        </row>
        <row r="141">
          <cell r="D141" t="str">
            <v>Operational ratios</v>
          </cell>
        </row>
        <row r="142">
          <cell r="C142">
            <v>186</v>
          </cell>
          <cell r="D142" t="str">
            <v>Coverage of service</v>
          </cell>
          <cell r="E142" t="str">
            <v>%</v>
          </cell>
          <cell r="F142">
            <v>0.44069297596746076</v>
          </cell>
          <cell r="G142">
            <v>0.64011627437771723</v>
          </cell>
          <cell r="H142">
            <v>0.86754763691379944</v>
          </cell>
          <cell r="I142">
            <v>0.90567704101811719</v>
          </cell>
          <cell r="J142">
            <v>1</v>
          </cell>
          <cell r="K142">
            <v>1</v>
          </cell>
          <cell r="L142">
            <v>1</v>
          </cell>
          <cell r="M142">
            <v>1</v>
          </cell>
          <cell r="N142">
            <v>1</v>
          </cell>
          <cell r="O142">
            <v>1</v>
          </cell>
          <cell r="P142">
            <v>1</v>
          </cell>
          <cell r="Q142">
            <v>1</v>
          </cell>
          <cell r="R142">
            <v>1</v>
          </cell>
          <cell r="S142">
            <v>1</v>
          </cell>
          <cell r="T142">
            <v>1</v>
          </cell>
          <cell r="U142">
            <v>1</v>
          </cell>
          <cell r="V142">
            <v>1</v>
          </cell>
          <cell r="W142">
            <v>1</v>
          </cell>
          <cell r="X142">
            <v>1</v>
          </cell>
          <cell r="Y142">
            <v>1</v>
          </cell>
          <cell r="Z142">
            <v>1</v>
          </cell>
          <cell r="AA142">
            <v>1</v>
          </cell>
          <cell r="AB142">
            <v>1</v>
          </cell>
          <cell r="AC142">
            <v>1</v>
          </cell>
          <cell r="AD142">
            <v>1</v>
          </cell>
          <cell r="AE142">
            <v>1</v>
          </cell>
          <cell r="AF142">
            <v>1</v>
          </cell>
          <cell r="AG142">
            <v>1</v>
          </cell>
          <cell r="AH142">
            <v>1</v>
          </cell>
          <cell r="AI142">
            <v>1</v>
          </cell>
          <cell r="AJ142">
            <v>1</v>
          </cell>
          <cell r="AK142">
            <v>1</v>
          </cell>
          <cell r="AL142">
            <v>1</v>
          </cell>
        </row>
        <row r="143">
          <cell r="C143">
            <v>187</v>
          </cell>
          <cell r="D143" t="str">
            <v>Percentage of collected waste going to landfill</v>
          </cell>
          <cell r="E143" t="str">
            <v>%</v>
          </cell>
          <cell r="F143">
            <v>0.68303662179939706</v>
          </cell>
          <cell r="G143">
            <v>0.53194931515965926</v>
          </cell>
          <cell r="H143">
            <v>0.4296820227498524</v>
          </cell>
          <cell r="I143">
            <v>0.40631490962500161</v>
          </cell>
          <cell r="J143">
            <v>1.504134187398845</v>
          </cell>
          <cell r="K143">
            <v>1.4796460947681007</v>
          </cell>
          <cell r="L143">
            <v>1.4240945999704036</v>
          </cell>
          <cell r="M143">
            <v>1.4207253505299853</v>
          </cell>
          <cell r="N143">
            <v>1.4549692155248306</v>
          </cell>
          <cell r="O143">
            <v>1.3061904286825912</v>
          </cell>
          <cell r="P143">
            <v>1.3067620247616325</v>
          </cell>
          <cell r="Q143">
            <v>1.3075552746283003</v>
          </cell>
          <cell r="R143">
            <v>1.2996640905000929</v>
          </cell>
          <cell r="S143">
            <v>1.3010986862769591</v>
          </cell>
          <cell r="T143">
            <v>1.3026308752451046</v>
          </cell>
          <cell r="U143">
            <v>1.3045633605239471</v>
          </cell>
          <cell r="V143">
            <v>1.3065908408573219</v>
          </cell>
          <cell r="W143">
            <v>1.308903955688933</v>
          </cell>
          <cell r="X143">
            <v>1.3114711729748223</v>
          </cell>
          <cell r="Y143">
            <v>1.3160565990768129</v>
          </cell>
          <cell r="Z143">
            <v>1.3166549473606566</v>
          </cell>
          <cell r="AA143">
            <v>1.3173392145931511</v>
          </cell>
          <cell r="AB143">
            <v>1.3180753944703518</v>
          </cell>
          <cell r="AC143">
            <v>1.3188390419771598</v>
          </cell>
          <cell r="AD143">
            <v>1.3194994888872853</v>
          </cell>
          <cell r="AE143" t="e">
            <v>#DIV/0!</v>
          </cell>
          <cell r="AF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L143" t="e">
            <v>#DIV/0!</v>
          </cell>
        </row>
        <row r="144">
          <cell r="C144">
            <v>188</v>
          </cell>
          <cell r="D144" t="str">
            <v>Total operating cost per ton of waste collected</v>
          </cell>
          <cell r="E144" t="str">
            <v>RON/Ton</v>
          </cell>
          <cell r="F144">
            <v>103.68258406831066</v>
          </cell>
          <cell r="G144">
            <v>110.09494792919871</v>
          </cell>
          <cell r="H144">
            <v>124.17503919083775</v>
          </cell>
          <cell r="I144">
            <v>163.0271593475249</v>
          </cell>
          <cell r="J144">
            <v>267.29463480466751</v>
          </cell>
          <cell r="K144">
            <v>278.11610274711131</v>
          </cell>
          <cell r="L144">
            <v>287.34268546620774</v>
          </cell>
          <cell r="M144">
            <v>295.46356284413667</v>
          </cell>
          <cell r="N144">
            <v>303.35635199102393</v>
          </cell>
          <cell r="O144">
            <v>353.62616977569047</v>
          </cell>
          <cell r="P144">
            <v>360.1571697999558</v>
          </cell>
          <cell r="Q144">
            <v>353.9126918885479</v>
          </cell>
          <cell r="R144">
            <v>361.33012352880672</v>
          </cell>
          <cell r="S144">
            <v>368.15759236478198</v>
          </cell>
          <cell r="T144">
            <v>375.13822715158267</v>
          </cell>
          <cell r="U144">
            <v>382.31325704380822</v>
          </cell>
          <cell r="V144">
            <v>389.63209850298006</v>
          </cell>
          <cell r="W144">
            <v>397.14769352112921</v>
          </cell>
          <cell r="X144">
            <v>404.82593416900988</v>
          </cell>
          <cell r="Y144">
            <v>413.12451785303881</v>
          </cell>
          <cell r="Z144">
            <v>420.63722865965246</v>
          </cell>
          <cell r="AA144">
            <v>428.30876941712512</v>
          </cell>
          <cell r="AB144">
            <v>436.12398756699366</v>
          </cell>
          <cell r="AC144">
            <v>444.06179337073996</v>
          </cell>
          <cell r="AD144">
            <v>452.13632481501458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</row>
        <row r="145">
          <cell r="C145">
            <v>189</v>
          </cell>
          <cell r="D145" t="str">
            <v>Total operating cost per ton of waste collected</v>
          </cell>
          <cell r="E145" t="str">
            <v>EUR/Ton</v>
          </cell>
          <cell r="F145">
            <v>31.067804533098812</v>
          </cell>
          <cell r="G145">
            <v>29.895171458223235</v>
          </cell>
          <cell r="H145">
            <v>31.043759797709438</v>
          </cell>
          <cell r="I145">
            <v>39.706758037648598</v>
          </cell>
          <cell r="J145">
            <v>64.09661963638149</v>
          </cell>
          <cell r="K145">
            <v>65.916098478384086</v>
          </cell>
          <cell r="L145">
            <v>67.572900710650373</v>
          </cell>
          <cell r="M145">
            <v>69.143705919672371</v>
          </cell>
          <cell r="N145">
            <v>70.782574307357152</v>
          </cell>
          <cell r="O145">
            <v>82.512103257078138</v>
          </cell>
          <cell r="P145">
            <v>84.035990894455153</v>
          </cell>
          <cell r="Q145">
            <v>82.578957874134687</v>
          </cell>
          <cell r="R145">
            <v>84.309677876536014</v>
          </cell>
          <cell r="S145">
            <v>85.902741008531635</v>
          </cell>
          <cell r="T145">
            <v>87.53154257232373</v>
          </cell>
          <cell r="U145">
            <v>89.205702625906483</v>
          </cell>
          <cell r="V145">
            <v>90.91341843942908</v>
          </cell>
          <cell r="W145">
            <v>92.667043044104858</v>
          </cell>
          <cell r="X145">
            <v>94.458617987702738</v>
          </cell>
          <cell r="Y145">
            <v>96.394938464941291</v>
          </cell>
          <cell r="Z145">
            <v>98.147890092387513</v>
          </cell>
          <cell r="AA145">
            <v>99.93790174091167</v>
          </cell>
          <cell r="AB145">
            <v>101.76143784223467</v>
          </cell>
          <cell r="AC145">
            <v>103.61357749730827</v>
          </cell>
          <cell r="AD145">
            <v>105.49761954291004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</row>
        <row r="146">
          <cell r="C146">
            <v>190</v>
          </cell>
          <cell r="D146" t="str">
            <v>Working capital [(Stocks + all A/R - all A/P) / (Revenues/365)]</v>
          </cell>
          <cell r="E146" t="str">
            <v>days</v>
          </cell>
          <cell r="F146">
            <v>372.65286733381168</v>
          </cell>
          <cell r="G146">
            <v>200.47876124763368</v>
          </cell>
          <cell r="H146">
            <v>116.7608045607375</v>
          </cell>
          <cell r="I146">
            <v>36.026053460613923</v>
          </cell>
          <cell r="J146">
            <v>34.690395994831817</v>
          </cell>
          <cell r="K146">
            <v>31.69905573871058</v>
          </cell>
          <cell r="L146">
            <v>17.162822949914034</v>
          </cell>
          <cell r="M146">
            <v>16.826432091962236</v>
          </cell>
          <cell r="N146">
            <v>16.439731063362146</v>
          </cell>
          <cell r="O146">
            <v>25.12429461603092</v>
          </cell>
          <cell r="P146">
            <v>23.81272486477225</v>
          </cell>
          <cell r="Q146">
            <v>18.973538902098486</v>
          </cell>
          <cell r="R146">
            <v>19.07624706072092</v>
          </cell>
          <cell r="S146">
            <v>19.986953153640247</v>
          </cell>
          <cell r="T146">
            <v>17.889988131046895</v>
          </cell>
          <cell r="U146">
            <v>16.394589959956772</v>
          </cell>
          <cell r="V146">
            <v>15.014158031104385</v>
          </cell>
          <cell r="W146">
            <v>13.823479622574478</v>
          </cell>
          <cell r="X146">
            <v>12.525619968136223</v>
          </cell>
          <cell r="Y146">
            <v>13.414611518332439</v>
          </cell>
          <cell r="Z146">
            <v>13.235642395712576</v>
          </cell>
          <cell r="AA146">
            <v>11.628198799351482</v>
          </cell>
          <cell r="AB146">
            <v>10.298925729743914</v>
          </cell>
          <cell r="AC146">
            <v>7.2131655283299505</v>
          </cell>
          <cell r="AD146">
            <v>6.6262615803276832</v>
          </cell>
          <cell r="AE146">
            <v>-34.35467590561035</v>
          </cell>
          <cell r="AF146">
            <v>-44.153976642301267</v>
          </cell>
          <cell r="AG146">
            <v>-51.383490983489366</v>
          </cell>
          <cell r="AH146">
            <v>-52.752455056881686</v>
          </cell>
          <cell r="AI146">
            <v>-53.637308967007627</v>
          </cell>
          <cell r="AJ146">
            <v>-54.498824555169641</v>
          </cell>
          <cell r="AK146">
            <v>-55.340395453643943</v>
          </cell>
          <cell r="AL146">
            <v>-48.998871972814634</v>
          </cell>
        </row>
        <row r="148">
          <cell r="D148" t="str">
            <v>Cost recovery ratios</v>
          </cell>
        </row>
        <row r="149">
          <cell r="C149">
            <v>191</v>
          </cell>
          <cell r="D149" t="str">
            <v>Average collection fee</v>
          </cell>
          <cell r="E149" t="str">
            <v>RON/Ton</v>
          </cell>
          <cell r="F149">
            <v>190.31930939021768</v>
          </cell>
          <cell r="G149">
            <v>211.10694007854536</v>
          </cell>
          <cell r="H149">
            <v>238.03343148740669</v>
          </cell>
          <cell r="I149">
            <v>332.09553212647654</v>
          </cell>
          <cell r="J149">
            <v>379.79539877328727</v>
          </cell>
          <cell r="K149">
            <v>403.3100875079445</v>
          </cell>
          <cell r="L149">
            <v>470.53863547366342</v>
          </cell>
          <cell r="M149">
            <v>485.20621164065534</v>
          </cell>
          <cell r="N149">
            <v>497.98966457535658</v>
          </cell>
          <cell r="O149">
            <v>509.5436786246143</v>
          </cell>
          <cell r="P149">
            <v>521.15700549123824</v>
          </cell>
          <cell r="Q149">
            <v>540.07072505319638</v>
          </cell>
          <cell r="R149">
            <v>553.23244397115036</v>
          </cell>
          <cell r="S149">
            <v>555.92998553703444</v>
          </cell>
          <cell r="T149">
            <v>569.21448631833891</v>
          </cell>
          <cell r="U149">
            <v>583.58989096657979</v>
          </cell>
          <cell r="V149">
            <v>598.40559928822358</v>
          </cell>
          <cell r="W149">
            <v>613.76891241675457</v>
          </cell>
          <cell r="X149">
            <v>629.61513246396339</v>
          </cell>
          <cell r="Y149">
            <v>646.31786048933668</v>
          </cell>
          <cell r="Z149">
            <v>662.88375423872731</v>
          </cell>
          <cell r="AA149">
            <v>680.49221539075222</v>
          </cell>
          <cell r="AB149">
            <v>697.45225444816663</v>
          </cell>
          <cell r="AC149">
            <v>714.90510457168955</v>
          </cell>
          <cell r="AD149">
            <v>732.83350105311627</v>
          </cell>
          <cell r="AE149">
            <v>797.63285279532226</v>
          </cell>
          <cell r="AF149">
            <v>818.64404231802098</v>
          </cell>
          <cell r="AG149">
            <v>840.231194868751</v>
          </cell>
          <cell r="AH149">
            <v>862.42611029605223</v>
          </cell>
          <cell r="AI149">
            <v>885.30198473658254</v>
          </cell>
          <cell r="AJ149">
            <v>908.82683269606582</v>
          </cell>
          <cell r="AK149">
            <v>932.99634013238858</v>
          </cell>
          <cell r="AL149">
            <v>1025.8453661091294</v>
          </cell>
        </row>
        <row r="150">
          <cell r="C150">
            <v>192</v>
          </cell>
          <cell r="D150" t="str">
            <v>Average collection fee</v>
          </cell>
          <cell r="E150" t="str">
            <v>EUR/Ton</v>
          </cell>
          <cell r="F150">
            <v>57.027929580864075</v>
          </cell>
          <cell r="G150">
            <v>57.32395798695125</v>
          </cell>
          <cell r="H150">
            <v>59.508357871851672</v>
          </cell>
          <cell r="I150">
            <v>80.884908945880852</v>
          </cell>
          <cell r="J150">
            <v>91.074036082351384</v>
          </cell>
          <cell r="K150">
            <v>95.588235211510053</v>
          </cell>
          <cell r="L150">
            <v>110.65414956987316</v>
          </cell>
          <cell r="M150">
            <v>113.54684579423953</v>
          </cell>
          <cell r="N150">
            <v>116.19664531746488</v>
          </cell>
          <cell r="O150">
            <v>118.89256004818407</v>
          </cell>
          <cell r="P150">
            <v>121.60231432396318</v>
          </cell>
          <cell r="Q150">
            <v>126.01547973664073</v>
          </cell>
          <cell r="R150">
            <v>129.08652255874782</v>
          </cell>
          <cell r="S150">
            <v>129.71594381556736</v>
          </cell>
          <cell r="T150">
            <v>132.81563550660093</v>
          </cell>
          <cell r="U150">
            <v>136.16986936731976</v>
          </cell>
          <cell r="V150">
            <v>139.62683991799381</v>
          </cell>
          <cell r="W150">
            <v>143.21158388656454</v>
          </cell>
          <cell r="X150">
            <v>146.90900522164003</v>
          </cell>
          <cell r="Y150">
            <v>150.8062767962486</v>
          </cell>
          <cell r="Z150">
            <v>154.67162063226203</v>
          </cell>
          <cell r="AA150">
            <v>158.78022822116228</v>
          </cell>
          <cell r="AB150">
            <v>162.73753854928964</v>
          </cell>
          <cell r="AC150">
            <v>166.80983719289932</v>
          </cell>
          <cell r="AD150">
            <v>170.99309575277249</v>
          </cell>
          <cell r="AE150">
            <v>186.11282177682813</v>
          </cell>
          <cell r="AF150">
            <v>191.01539287486267</v>
          </cell>
          <cell r="AG150">
            <v>196.05235425535653</v>
          </cell>
          <cell r="AH150">
            <v>201.23112582274715</v>
          </cell>
          <cell r="AI150">
            <v>206.56878653697055</v>
          </cell>
          <cell r="AJ150">
            <v>212.05787317660244</v>
          </cell>
          <cell r="AK150">
            <v>217.69737913998625</v>
          </cell>
          <cell r="AL150">
            <v>239.36197603215501</v>
          </cell>
        </row>
        <row r="151">
          <cell r="C151">
            <v>193</v>
          </cell>
          <cell r="D151" t="str">
            <v>Coverage of O&amp;M costs [Revenues / O&amp;M costs]</v>
          </cell>
          <cell r="E151" t="str">
            <v>%</v>
          </cell>
          <cell r="F151">
            <v>1.8490867166175611</v>
          </cell>
          <cell r="G151">
            <v>1.9271946950150596</v>
          </cell>
          <cell r="H151">
            <v>1.9240919444889715</v>
          </cell>
          <cell r="I151">
            <v>2.0452576109165714</v>
          </cell>
          <cell r="J151">
            <v>1.4642857632871391</v>
          </cell>
          <cell r="K151">
            <v>1.4935144174320274</v>
          </cell>
          <cell r="L151">
            <v>1.6829742400465455</v>
          </cell>
          <cell r="M151">
            <v>1.6877140056013056</v>
          </cell>
          <cell r="N151">
            <v>1.6871299379115292</v>
          </cell>
          <cell r="O151">
            <v>1.4808202902720136</v>
          </cell>
          <cell r="P151">
            <v>1.4869835997394332</v>
          </cell>
          <cell r="Q151">
            <v>1.5674610996176122</v>
          </cell>
          <cell r="R151">
            <v>1.5742129177227686</v>
          </cell>
          <cell r="S151">
            <v>1.5531661716056739</v>
          </cell>
          <cell r="T151">
            <v>1.5604980723552258</v>
          </cell>
          <cell r="U151">
            <v>1.5696290098221135</v>
          </cell>
          <cell r="V151">
            <v>1.5789859296541502</v>
          </cell>
          <cell r="W151">
            <v>1.5886038792700921</v>
          </cell>
          <cell r="X151">
            <v>1.598426367838051</v>
          </cell>
          <cell r="Y151">
            <v>1.6075420777581853</v>
          </cell>
          <cell r="Z151">
            <v>1.6190440828336274</v>
          </cell>
          <cell r="AA151">
            <v>1.6319894206497381</v>
          </cell>
          <cell r="AB151">
            <v>1.6424665747497653</v>
          </cell>
          <cell r="AC151">
            <v>1.6532428523455986</v>
          </cell>
          <cell r="AD151">
            <v>1.6642093369027227</v>
          </cell>
          <cell r="AE151" t="e">
            <v>#DIV/0!</v>
          </cell>
          <cell r="AF151" t="e">
            <v>#DIV/0!</v>
          </cell>
          <cell r="AG151" t="e">
            <v>#DIV/0!</v>
          </cell>
          <cell r="AH151" t="e">
            <v>#DIV/0!</v>
          </cell>
          <cell r="AI151" t="e">
            <v>#DIV/0!</v>
          </cell>
          <cell r="AJ151" t="e">
            <v>#DIV/0!</v>
          </cell>
          <cell r="AK151" t="e">
            <v>#DIV/0!</v>
          </cell>
          <cell r="AL151" t="e">
            <v>#DIV/0!</v>
          </cell>
        </row>
        <row r="152">
          <cell r="C152">
            <v>194</v>
          </cell>
          <cell r="D152" t="str">
            <v>Coverage of O&amp;M+D costs [Revenues / O&amp;M+D costs]</v>
          </cell>
          <cell r="E152" t="str">
            <v>%</v>
          </cell>
          <cell r="F152">
            <v>1.8490867166175611</v>
          </cell>
          <cell r="G152">
            <v>1.9271946950150596</v>
          </cell>
          <cell r="H152">
            <v>1.9240919444889715</v>
          </cell>
          <cell r="I152">
            <v>1.7593679958794741</v>
          </cell>
          <cell r="J152">
            <v>1.128204461668322</v>
          </cell>
          <cell r="K152">
            <v>1.1619005606658575</v>
          </cell>
          <cell r="L152">
            <v>1.3194893051125467</v>
          </cell>
          <cell r="M152">
            <v>1.3294315835519319</v>
          </cell>
          <cell r="N152">
            <v>1.3369613881206679</v>
          </cell>
          <cell r="O152">
            <v>1.1745814335007456</v>
          </cell>
          <cell r="P152">
            <v>1.1842653650667563</v>
          </cell>
          <cell r="Q152">
            <v>1.2433995248719529</v>
          </cell>
          <cell r="R152">
            <v>1.2297022444017516</v>
          </cell>
          <cell r="S152">
            <v>1.2182658499266976</v>
          </cell>
          <cell r="T152">
            <v>1.3516748263943961</v>
          </cell>
          <cell r="U152">
            <v>1.3629249533645413</v>
          </cell>
          <cell r="V152">
            <v>1.3743554501844666</v>
          </cell>
          <cell r="W152">
            <v>1.3832088741870956</v>
          </cell>
          <cell r="X152">
            <v>1.394979612798509</v>
          </cell>
          <cell r="Y152">
            <v>1.362695722436172</v>
          </cell>
          <cell r="Z152">
            <v>1.3482748160911322</v>
          </cell>
          <cell r="AA152">
            <v>1.3635729482284289</v>
          </cell>
          <cell r="AB152">
            <v>1.37604459782749</v>
          </cell>
          <cell r="AC152">
            <v>1.4281824685119984</v>
          </cell>
          <cell r="AD152">
            <v>1.4259493718576444</v>
          </cell>
          <cell r="AE152">
            <v>7.9620402334207059</v>
          </cell>
          <cell r="AF152">
            <v>20.38115659666234</v>
          </cell>
          <cell r="AG152" t="e">
            <v>#DIV/0!</v>
          </cell>
          <cell r="AH152" t="e">
            <v>#DIV/0!</v>
          </cell>
          <cell r="AI152" t="e">
            <v>#DIV/0!</v>
          </cell>
          <cell r="AJ152" t="e">
            <v>#DIV/0!</v>
          </cell>
          <cell r="AK152" t="e">
            <v>#DIV/0!</v>
          </cell>
          <cell r="AL152" t="e">
            <v>#DIV/0!</v>
          </cell>
        </row>
        <row r="153">
          <cell r="C153">
            <v>195</v>
          </cell>
          <cell r="D153" t="str">
            <v>Collection ratio [Collections / Revenues]</v>
          </cell>
          <cell r="E153" t="str">
            <v>%</v>
          </cell>
          <cell r="G153">
            <v>1.0686571100163129</v>
          </cell>
          <cell r="H153">
            <v>1.0294831903442301</v>
          </cell>
          <cell r="I153">
            <v>1.0162307269307675</v>
          </cell>
          <cell r="J153">
            <v>0.99847800526869857</v>
          </cell>
          <cell r="K153">
            <v>0.99012501025663568</v>
          </cell>
          <cell r="L153">
            <v>0.99231038593505483</v>
          </cell>
          <cell r="M153">
            <v>0.99556747154625069</v>
          </cell>
          <cell r="N153">
            <v>0.99611178193120398</v>
          </cell>
          <cell r="O153">
            <v>0.9983526096472547</v>
          </cell>
          <cell r="P153">
            <v>0.99852211968346383</v>
          </cell>
          <cell r="Q153">
            <v>0.99837245909569983</v>
          </cell>
          <cell r="R153">
            <v>0.99834960450300725</v>
          </cell>
          <cell r="S153">
            <v>0.99869108303925092</v>
          </cell>
          <cell r="T153">
            <v>0.99893127540517579</v>
          </cell>
          <cell r="U153">
            <v>0.99896068740660648</v>
          </cell>
          <cell r="V153">
            <v>0.9986059009128716</v>
          </cell>
          <cell r="W153">
            <v>0.99859323865829419</v>
          </cell>
          <cell r="X153">
            <v>0.99859611242154067</v>
          </cell>
          <cell r="Y153">
            <v>0.99864794178901195</v>
          </cell>
          <cell r="Z153">
            <v>0.99859200036750873</v>
          </cell>
          <cell r="AA153">
            <v>0.99852138743334817</v>
          </cell>
          <cell r="AB153">
            <v>0.99843294005327754</v>
          </cell>
          <cell r="AC153">
            <v>0.99844550751464622</v>
          </cell>
          <cell r="AD153">
            <v>0.99846900890468682</v>
          </cell>
          <cell r="AE153">
            <v>1.0034876525357783</v>
          </cell>
          <cell r="AF153">
            <v>1.0033753955557623</v>
          </cell>
          <cell r="AG153">
            <v>1.0032629164046059</v>
          </cell>
          <cell r="AH153">
            <v>0.99819634962961334</v>
          </cell>
          <cell r="AI153">
            <v>0.99819221993469109</v>
          </cell>
          <cell r="AJ153">
            <v>0.99818924713187895</v>
          </cell>
          <cell r="AK153">
            <v>0.99818512857075059</v>
          </cell>
          <cell r="AL153">
            <v>1.0013831272941511</v>
          </cell>
        </row>
        <row r="154">
          <cell r="C154">
            <v>196</v>
          </cell>
          <cell r="D154" t="str">
            <v>Operational ratio [Collections / O&amp;M cost]</v>
          </cell>
          <cell r="E154" t="str">
            <v>%</v>
          </cell>
          <cell r="G154">
            <v>2.059510313213563</v>
          </cell>
          <cell r="H154">
            <v>1.9808203135281397</v>
          </cell>
          <cell r="I154">
            <v>2.078453628702432</v>
          </cell>
          <cell r="J154">
            <v>1.4620571280702963</v>
          </cell>
          <cell r="K154">
            <v>1.4787659778783193</v>
          </cell>
          <cell r="L154">
            <v>1.6700328176593433</v>
          </cell>
          <cell r="M154">
            <v>1.6802331652496867</v>
          </cell>
          <cell r="N154">
            <v>1.680570008802535</v>
          </cell>
          <cell r="O154">
            <v>1.4783808012116699</v>
          </cell>
          <cell r="P154">
            <v>1.4847860159463662</v>
          </cell>
          <cell r="Q154">
            <v>1.5649099925620851</v>
          </cell>
          <cell r="R154">
            <v>1.5716148438120512</v>
          </cell>
          <cell r="S154">
            <v>1.5511332060607976</v>
          </cell>
          <cell r="T154">
            <v>1.5588303296851238</v>
          </cell>
          <cell r="U154">
            <v>1.5679976746252497</v>
          </cell>
          <cell r="V154">
            <v>1.5767846668110306</v>
          </cell>
          <cell r="W154">
            <v>1.5863690927454508</v>
          </cell>
          <cell r="X154">
            <v>1.5961823569151612</v>
          </cell>
          <cell r="Y154">
            <v>1.6053685872924437</v>
          </cell>
          <cell r="Z154">
            <v>1.6167644693600103</v>
          </cell>
          <cell r="AA154">
            <v>1.6295763405837225</v>
          </cell>
          <cell r="AB154">
            <v>1.6398927311666445</v>
          </cell>
          <cell r="AC154">
            <v>1.6506728987551624</v>
          </cell>
          <cell r="AD154">
            <v>1.6616614472271876</v>
          </cell>
          <cell r="AE154" t="e">
            <v>#DIV/0!</v>
          </cell>
          <cell r="AF154" t="e">
            <v>#DIV/0!</v>
          </cell>
          <cell r="AG154" t="e">
            <v>#DIV/0!</v>
          </cell>
          <cell r="AH154" t="e">
            <v>#DIV/0!</v>
          </cell>
          <cell r="AI154" t="e">
            <v>#DIV/0!</v>
          </cell>
          <cell r="AJ154" t="e">
            <v>#DIV/0!</v>
          </cell>
          <cell r="AK154" t="e">
            <v>#DIV/0!</v>
          </cell>
          <cell r="AL154" t="e">
            <v>#DIV/0!</v>
          </cell>
        </row>
        <row r="156">
          <cell r="D156" t="str">
            <v>Profitability ratios</v>
          </cell>
        </row>
        <row r="157">
          <cell r="C157">
            <v>197</v>
          </cell>
          <cell r="D157" t="str">
            <v>Return on assets (ROA) [EBIT / Total Assets]</v>
          </cell>
          <cell r="E157" t="str">
            <v>%</v>
          </cell>
          <cell r="F157">
            <v>6.5100318607535568E-2</v>
          </cell>
          <cell r="G157">
            <v>0.11069050810691629</v>
          </cell>
          <cell r="H157">
            <v>0.17105709900816166</v>
          </cell>
          <cell r="I157">
            <v>0.10289581538538693</v>
          </cell>
          <cell r="J157">
            <v>6.6094453818676832E-2</v>
          </cell>
          <cell r="K157">
            <v>7.8041075815761154E-2</v>
          </cell>
          <cell r="L157">
            <v>0.11744677696602843</v>
          </cell>
          <cell r="M157">
            <v>0.11429186874486089</v>
          </cell>
          <cell r="N157">
            <v>0.11156312107724915</v>
          </cell>
          <cell r="O157">
            <v>7.3628866516224148E-2</v>
          </cell>
          <cell r="P157">
            <v>7.5012055300122948E-2</v>
          </cell>
          <cell r="Q157">
            <v>8.7792649335790923E-2</v>
          </cell>
          <cell r="R157">
            <v>8.3058180632792702E-2</v>
          </cell>
          <cell r="S157">
            <v>7.7885446834062427E-2</v>
          </cell>
          <cell r="T157">
            <v>7.9339032755266423E-2</v>
          </cell>
          <cell r="U157">
            <v>7.8479887017547836E-2</v>
          </cell>
          <cell r="V157">
            <v>7.7740391029237077E-2</v>
          </cell>
          <cell r="W157">
            <v>7.6499396511547385E-2</v>
          </cell>
          <cell r="X157">
            <v>7.5692417039449747E-2</v>
          </cell>
          <cell r="Y157">
            <v>6.8775525059570825E-2</v>
          </cell>
          <cell r="Z157">
            <v>6.5180056212622239E-2</v>
          </cell>
          <cell r="AA157">
            <v>6.5943614777475054E-2</v>
          </cell>
          <cell r="AB157">
            <v>6.6103381211472537E-2</v>
          </cell>
          <cell r="AC157">
            <v>7.0742553089949506E-2</v>
          </cell>
          <cell r="AD157">
            <v>6.8551652845837738E-2</v>
          </cell>
          <cell r="AE157">
            <v>0.14645271083825959</v>
          </cell>
          <cell r="AF157">
            <v>0.14584845248506303</v>
          </cell>
          <cell r="AG157">
            <v>0.14109846258164066</v>
          </cell>
          <cell r="AH157">
            <v>0.13160472572009457</v>
          </cell>
          <cell r="AI157">
            <v>0.12302397328684013</v>
          </cell>
          <cell r="AJ157">
            <v>0.11572515881073814</v>
          </cell>
          <cell r="AK157">
            <v>0.10945247241276045</v>
          </cell>
          <cell r="AL157">
            <v>8.9665194297807449E-2</v>
          </cell>
        </row>
        <row r="158">
          <cell r="C158">
            <v>198</v>
          </cell>
          <cell r="D158" t="str">
            <v>Return on equity (ROE) [Net income / Equity]</v>
          </cell>
          <cell r="E158" t="str">
            <v>%</v>
          </cell>
          <cell r="F158">
            <v>6.6577473324724384E-2</v>
          </cell>
          <cell r="G158">
            <v>0.11358515938872672</v>
          </cell>
          <cell r="H158">
            <v>0.17616272886933315</v>
          </cell>
          <cell r="I158">
            <v>0.15251198733834959</v>
          </cell>
          <cell r="J158">
            <v>8.7344838828000163E-2</v>
          </cell>
          <cell r="K158">
            <v>9.7951747863122468E-2</v>
          </cell>
          <cell r="L158">
            <v>0.14098013019332536</v>
          </cell>
          <cell r="M158">
            <v>0.12893589052609267</v>
          </cell>
          <cell r="N158">
            <v>0.11913614254981204</v>
          </cell>
          <cell r="O158">
            <v>7.4180826614062598E-2</v>
          </cell>
          <cell r="P158">
            <v>7.2923366483887794E-2</v>
          </cell>
          <cell r="Q158">
            <v>8.3021597404690783E-2</v>
          </cell>
          <cell r="R158">
            <v>7.5992125880701811E-2</v>
          </cell>
          <cell r="S158">
            <v>6.9120395059763001E-2</v>
          </cell>
          <cell r="T158">
            <v>7.0300123604608217E-2</v>
          </cell>
          <cell r="U158">
            <v>6.9369595785442634E-2</v>
          </cell>
          <cell r="V158">
            <v>6.8563750946171564E-2</v>
          </cell>
          <cell r="W158">
            <v>6.7318226926254693E-2</v>
          </cell>
          <cell r="X158">
            <v>6.6479769240178649E-2</v>
          </cell>
          <cell r="Y158">
            <v>6.0177300635354085E-2</v>
          </cell>
          <cell r="Z158">
            <v>5.6906119676971463E-2</v>
          </cell>
          <cell r="AA158">
            <v>5.7533157958855975E-2</v>
          </cell>
          <cell r="AB158">
            <v>5.7620916650023661E-2</v>
          </cell>
          <cell r="AC158">
            <v>6.1789794561581866E-2</v>
          </cell>
          <cell r="AD158">
            <v>5.9806895077407357E-2</v>
          </cell>
          <cell r="AE158">
            <v>0.12951989007988421</v>
          </cell>
          <cell r="AF158">
            <v>0.12879505337855315</v>
          </cell>
          <cell r="AG158">
            <v>0.12430789615412642</v>
          </cell>
          <cell r="AH158">
            <v>0.1155564941753508</v>
          </cell>
          <cell r="AI158">
            <v>0.10770324014211161</v>
          </cell>
          <cell r="AJ158">
            <v>0.10105963512030755</v>
          </cell>
          <cell r="AK158">
            <v>9.5376570296877947E-2</v>
          </cell>
          <cell r="AL158">
            <v>7.7613041044764852E-2</v>
          </cell>
        </row>
        <row r="160">
          <cell r="D160" t="str">
            <v>Solvency ratios</v>
          </cell>
        </row>
        <row r="161">
          <cell r="C161">
            <v>199</v>
          </cell>
          <cell r="D161" t="str">
            <v>Interest cover ratio [EBITDA / Interest payments]</v>
          </cell>
          <cell r="E161" t="str">
            <v>times</v>
          </cell>
          <cell r="I161">
            <v>126.23923615960959</v>
          </cell>
          <cell r="J161">
            <v>42.662931337831822</v>
          </cell>
          <cell r="K161">
            <v>46.781966513058414</v>
          </cell>
          <cell r="L161">
            <v>66.553848983889083</v>
          </cell>
          <cell r="M161">
            <v>68.741013805209718</v>
          </cell>
          <cell r="N161">
            <v>70.464878830877936</v>
          </cell>
          <cell r="O161">
            <v>60.267914500980254</v>
          </cell>
          <cell r="P161">
            <v>65.486576610471701</v>
          </cell>
          <cell r="Q161">
            <v>79.411038555624089</v>
          </cell>
          <cell r="R161">
            <v>87.445307914206879</v>
          </cell>
          <cell r="S161">
            <v>92.171885241332603</v>
          </cell>
          <cell r="T161">
            <v>103.18419632332828</v>
          </cell>
          <cell r="U161">
            <v>117.23730253570176</v>
          </cell>
          <cell r="V161">
            <v>135.29733853425293</v>
          </cell>
          <cell r="W161">
            <v>159.3401107105569</v>
          </cell>
          <cell r="X161">
            <v>192.95529954204761</v>
          </cell>
          <cell r="Y161">
            <v>242.48290557438378</v>
          </cell>
          <cell r="Z161">
            <v>327.51769560365682</v>
          </cell>
          <cell r="AA161">
            <v>498.46821900083603</v>
          </cell>
          <cell r="AB161">
            <v>1006.9677925680603</v>
          </cell>
          <cell r="AC161" t="str">
            <v>n/a</v>
          </cell>
          <cell r="AD161" t="str">
            <v>n/a</v>
          </cell>
          <cell r="AE161" t="str">
            <v>n/a</v>
          </cell>
          <cell r="AF161" t="str">
            <v>n/a</v>
          </cell>
          <cell r="AG161" t="str">
            <v>n/a</v>
          </cell>
          <cell r="AH161" t="str">
            <v>n/a</v>
          </cell>
          <cell r="AI161" t="str">
            <v>n/a</v>
          </cell>
          <cell r="AJ161" t="str">
            <v>n/a</v>
          </cell>
          <cell r="AK161" t="str">
            <v>n/a</v>
          </cell>
          <cell r="AL161" t="str">
            <v>n/a</v>
          </cell>
        </row>
        <row r="162">
          <cell r="C162">
            <v>200</v>
          </cell>
          <cell r="D162" t="str">
            <v>Debt service cover ratio (DSCR) [EBITDA / DS]</v>
          </cell>
          <cell r="E162" t="str">
            <v>times</v>
          </cell>
          <cell r="I162">
            <v>391.82919683997073</v>
          </cell>
          <cell r="J162">
            <v>14.668308810002095</v>
          </cell>
          <cell r="K162">
            <v>46.781966513058414</v>
          </cell>
          <cell r="L162">
            <v>66.553848983889083</v>
          </cell>
          <cell r="M162">
            <v>68.741013805209718</v>
          </cell>
          <cell r="N162">
            <v>38.90133087152617</v>
          </cell>
          <cell r="O162">
            <v>31.787144369870994</v>
          </cell>
          <cell r="P162">
            <v>32.837544387604538</v>
          </cell>
          <cell r="Q162">
            <v>37.642299924805315</v>
          </cell>
          <cell r="R162">
            <v>38.920988217107663</v>
          </cell>
          <cell r="S162">
            <v>38.211645057564333</v>
          </cell>
          <cell r="T162">
            <v>39.454617370716619</v>
          </cell>
          <cell r="U162">
            <v>40.845608603344708</v>
          </cell>
          <cell r="V162">
            <v>42.288967926399707</v>
          </cell>
          <cell r="W162">
            <v>43.779359384047552</v>
          </cell>
          <cell r="X162">
            <v>45.318571106756089</v>
          </cell>
          <cell r="Y162">
            <v>46.746644230174326</v>
          </cell>
          <cell r="Z162">
            <v>48.599150765584596</v>
          </cell>
          <cell r="AA162">
            <v>50.61824348291286</v>
          </cell>
          <cell r="AB162">
            <v>52.495951271319917</v>
          </cell>
          <cell r="AC162" t="str">
            <v>n/a</v>
          </cell>
          <cell r="AD162" t="str">
            <v>n/a</v>
          </cell>
          <cell r="AE162" t="str">
            <v>n/a</v>
          </cell>
          <cell r="AF162" t="str">
            <v>n/a</v>
          </cell>
          <cell r="AG162" t="str">
            <v>n/a</v>
          </cell>
          <cell r="AH162" t="str">
            <v>n/a</v>
          </cell>
          <cell r="AI162" t="str">
            <v>n/a</v>
          </cell>
          <cell r="AJ162" t="str">
            <v>n/a</v>
          </cell>
          <cell r="AK162" t="str">
            <v>n/a</v>
          </cell>
          <cell r="AL162" t="str">
            <v>n/a</v>
          </cell>
        </row>
        <row r="163">
          <cell r="C163">
            <v>201</v>
          </cell>
          <cell r="D163" t="str">
            <v>Debt service cover ratio (DSCR) [CASH-FLOW before DS / DS]</v>
          </cell>
          <cell r="E163" t="str">
            <v>times</v>
          </cell>
          <cell r="I163">
            <v>91.772093028086246</v>
          </cell>
          <cell r="J163">
            <v>10.807382848691049</v>
          </cell>
          <cell r="K163">
            <v>38.25956096040494</v>
          </cell>
          <cell r="L163">
            <v>54.604976691604058</v>
          </cell>
          <cell r="M163">
            <v>53.494697934886162</v>
          </cell>
          <cell r="N163">
            <v>6.1268481290685086</v>
          </cell>
          <cell r="O163">
            <v>22.796097926643384</v>
          </cell>
          <cell r="P163">
            <v>25.650715565285235</v>
          </cell>
          <cell r="Q163">
            <v>13.699308737095434</v>
          </cell>
          <cell r="R163">
            <v>30.739909086056549</v>
          </cell>
          <cell r="S163">
            <v>13.003202383133326</v>
          </cell>
          <cell r="T163">
            <v>31.493429241294869</v>
          </cell>
          <cell r="U163">
            <v>32.333015538472431</v>
          </cell>
          <cell r="V163">
            <v>31.694104276600914</v>
          </cell>
          <cell r="W163">
            <v>34.467303077935462</v>
          </cell>
          <cell r="X163">
            <v>7.8266148809628522</v>
          </cell>
          <cell r="Y163">
            <v>17.213927804283443</v>
          </cell>
          <cell r="Z163">
            <v>38.774381676024127</v>
          </cell>
          <cell r="AA163">
            <v>40.213841778911174</v>
          </cell>
          <cell r="AB163">
            <v>42.067033095157164</v>
          </cell>
          <cell r="AC163" t="str">
            <v>n/a</v>
          </cell>
          <cell r="AD163" t="str">
            <v>n/a</v>
          </cell>
          <cell r="AE163" t="str">
            <v>n/a</v>
          </cell>
          <cell r="AF163" t="str">
            <v>n/a</v>
          </cell>
          <cell r="AG163" t="str">
            <v>n/a</v>
          </cell>
          <cell r="AH163" t="str">
            <v>n/a</v>
          </cell>
          <cell r="AI163" t="str">
            <v>n/a</v>
          </cell>
          <cell r="AJ163" t="str">
            <v>n/a</v>
          </cell>
          <cell r="AK163" t="str">
            <v>n/a</v>
          </cell>
          <cell r="AL163" t="str">
            <v>n/a</v>
          </cell>
        </row>
        <row r="165">
          <cell r="D165" t="str">
            <v>Financial structure ratios</v>
          </cell>
        </row>
        <row r="166">
          <cell r="C166">
            <v>202</v>
          </cell>
          <cell r="D166" t="str">
            <v>Current ratio [Current assets / Current liabilities]</v>
          </cell>
          <cell r="E166" t="str">
            <v>times</v>
          </cell>
          <cell r="F166">
            <v>9.1666666666666661</v>
          </cell>
          <cell r="G166">
            <v>7.2857142857142856</v>
          </cell>
          <cell r="H166">
            <v>6.145833333333333</v>
          </cell>
          <cell r="I166">
            <v>2.2457227161847686</v>
          </cell>
          <cell r="J166">
            <v>4.390805518976328</v>
          </cell>
          <cell r="K166">
            <v>5.9541269341379239</v>
          </cell>
          <cell r="L166">
            <v>6.5721553724862263</v>
          </cell>
          <cell r="M166">
            <v>8.3819107654765084</v>
          </cell>
          <cell r="N166">
            <v>8.4992363759487617</v>
          </cell>
          <cell r="O166">
            <v>11.667091530138299</v>
          </cell>
          <cell r="P166">
            <v>13.15657573920368</v>
          </cell>
          <cell r="Q166">
            <v>12.737395732859653</v>
          </cell>
          <cell r="R166">
            <v>14.663337720737367</v>
          </cell>
          <cell r="S166">
            <v>15.625372497478489</v>
          </cell>
          <cell r="T166">
            <v>16.895828396600237</v>
          </cell>
          <cell r="U166">
            <v>18.284203028574122</v>
          </cell>
          <cell r="V166">
            <v>19.508088311126691</v>
          </cell>
          <cell r="W166">
            <v>20.852862886962892</v>
          </cell>
          <cell r="X166">
            <v>20.536681368029054</v>
          </cell>
          <cell r="Y166">
            <v>21.609732119251301</v>
          </cell>
          <cell r="Z166">
            <v>23.434225139895037</v>
          </cell>
          <cell r="AA166">
            <v>24.568186843528661</v>
          </cell>
          <cell r="AB166">
            <v>25.77940988848616</v>
          </cell>
          <cell r="AC166">
            <v>24.782507550062217</v>
          </cell>
          <cell r="AD166">
            <v>26.205492541741968</v>
          </cell>
          <cell r="AE166">
            <v>19.873172906256443</v>
          </cell>
          <cell r="AF166">
            <v>20.613980535641886</v>
          </cell>
          <cell r="AG166">
            <v>21.597634306257149</v>
          </cell>
          <cell r="AH166">
            <v>23.186333400630684</v>
          </cell>
          <cell r="AI166">
            <v>24.803574822272513</v>
          </cell>
          <cell r="AJ166">
            <v>26.367962834623466</v>
          </cell>
          <cell r="AK166">
            <v>27.879132276510497</v>
          </cell>
          <cell r="AL166">
            <v>34.003102769892394</v>
          </cell>
        </row>
        <row r="167">
          <cell r="C167">
            <v>203</v>
          </cell>
          <cell r="D167" t="str">
            <v>Debt to equity ratio [Liabilites / Equity]</v>
          </cell>
          <cell r="E167" t="str">
            <v>times</v>
          </cell>
          <cell r="F167">
            <v>2.1069692058346839E-2</v>
          </cell>
          <cell r="G167">
            <v>2.442187162308191E-2</v>
          </cell>
          <cell r="H167">
            <v>2.7900940845679682E-2</v>
          </cell>
          <cell r="I167">
            <v>0.78107938761877593</v>
          </cell>
          <cell r="J167">
            <v>0.65208846406017451</v>
          </cell>
          <cell r="K167">
            <v>0.55221145129851512</v>
          </cell>
          <cell r="L167">
            <v>0.46052366033986603</v>
          </cell>
          <cell r="M167">
            <v>0.3704223720634674</v>
          </cell>
          <cell r="N167">
            <v>0.29560981040697937</v>
          </cell>
          <cell r="O167">
            <v>0.23093578842970258</v>
          </cell>
          <cell r="P167">
            <v>0.18476798679762491</v>
          </cell>
          <cell r="Q167">
            <v>0.14613689496886234</v>
          </cell>
          <cell r="R167">
            <v>0.10801466226968763</v>
          </cell>
          <cell r="S167">
            <v>7.4025661398939013E-2</v>
          </cell>
          <cell r="T167">
            <v>6.9649387098107265E-2</v>
          </cell>
          <cell r="U167">
            <v>6.5015833118895874E-2</v>
          </cell>
          <cell r="V167">
            <v>6.0718896294914261E-2</v>
          </cell>
          <cell r="W167">
            <v>5.6580202593393421E-2</v>
          </cell>
          <cell r="X167">
            <v>5.2807863278068731E-2</v>
          </cell>
          <cell r="Y167">
            <v>4.7773516238212785E-2</v>
          </cell>
          <cell r="Z167">
            <v>4.3996300048798627E-2</v>
          </cell>
          <cell r="AA167">
            <v>4.1480684759001768E-2</v>
          </cell>
          <cell r="AB167">
            <v>3.8894618791452125E-2</v>
          </cell>
          <cell r="AC167">
            <v>3.9436541417740709E-2</v>
          </cell>
          <cell r="AD167">
            <v>3.8254105140433259E-2</v>
          </cell>
          <cell r="AE167">
            <v>5.2516009707978442E-2</v>
          </cell>
          <cell r="AF167">
            <v>5.0998359997243128E-2</v>
          </cell>
          <cell r="AG167">
            <v>4.856137388688294E-2</v>
          </cell>
          <cell r="AH167">
            <v>4.5082865325382568E-2</v>
          </cell>
          <cell r="AI167">
            <v>4.2018975115728587E-2</v>
          </cell>
          <cell r="AJ167">
            <v>3.9427031194563145E-2</v>
          </cell>
          <cell r="AK167">
            <v>3.7209821491021845E-2</v>
          </cell>
          <cell r="AL167">
            <v>3.0304908169171241E-2</v>
          </cell>
        </row>
        <row r="169">
          <cell r="D169" t="str">
            <v>Affordability</v>
          </cell>
        </row>
        <row r="170">
          <cell r="C170">
            <v>204</v>
          </cell>
          <cell r="D170" t="str">
            <v>Expenditure in waste management service / HH income</v>
          </cell>
          <cell r="E170" t="str">
            <v>%</v>
          </cell>
          <cell r="F170">
            <v>8.9089989233209089E-3</v>
          </cell>
          <cell r="G170">
            <v>1.0304389698712542E-2</v>
          </cell>
          <cell r="H170">
            <v>8.3320285148182384E-3</v>
          </cell>
          <cell r="I170">
            <v>8.7027141572369425E-3</v>
          </cell>
          <cell r="J170">
            <v>9.1056671556145122E-3</v>
          </cell>
          <cell r="K170">
            <v>8.5383592372242009E-3</v>
          </cell>
          <cell r="L170">
            <v>9.5233405402314307E-3</v>
          </cell>
          <cell r="M170">
            <v>8.9567719004670955E-3</v>
          </cell>
          <cell r="N170">
            <v>8.3878000841324379E-3</v>
          </cell>
          <cell r="O170">
            <v>7.8519710129218382E-3</v>
          </cell>
          <cell r="P170">
            <v>7.3438291398859028E-3</v>
          </cell>
          <cell r="Q170">
            <v>7.0051339707286678E-3</v>
          </cell>
          <cell r="R170">
            <v>6.56421620760204E-3</v>
          </cell>
          <cell r="S170">
            <v>5.9689570434319703E-3</v>
          </cell>
          <cell r="T170">
            <v>5.5955734523847264E-3</v>
          </cell>
          <cell r="U170">
            <v>5.2538326918715713E-3</v>
          </cell>
          <cell r="V170">
            <v>4.9330008112617955E-3</v>
          </cell>
          <cell r="W170">
            <v>4.6323841090464106E-3</v>
          </cell>
          <cell r="X170">
            <v>4.3492291596631313E-3</v>
          </cell>
          <cell r="Y170">
            <v>4.0808311662795926E-3</v>
          </cell>
          <cell r="Z170">
            <v>3.8363375076839296E-3</v>
          </cell>
          <cell r="AA170">
            <v>3.6115511264532612E-3</v>
          </cell>
          <cell r="AB170">
            <v>3.3905433057556419E-3</v>
          </cell>
          <cell r="AC170">
            <v>3.1830364563627048E-3</v>
          </cell>
          <cell r="AD170">
            <v>2.9887504266116463E-3</v>
          </cell>
          <cell r="AE170">
            <v>2.8060494996341671E-3</v>
          </cell>
          <cell r="AF170">
            <v>2.634912820598577E-3</v>
          </cell>
          <cell r="AG170">
            <v>2.4740203148934433E-3</v>
          </cell>
          <cell r="AH170">
            <v>2.323197530849524E-3</v>
          </cell>
          <cell r="AI170">
            <v>2.1816556109206268E-3</v>
          </cell>
          <cell r="AJ170">
            <v>2.0482743426952343E-3</v>
          </cell>
          <cell r="AK170">
            <v>1.9235202252347759E-3</v>
          </cell>
          <cell r="AL170">
            <v>1.9063476039980192E-3</v>
          </cell>
        </row>
      </sheetData>
      <sheetData sheetId="9" refreshError="1">
        <row r="8">
          <cell r="C8" t="str">
            <v>INCOME STATEMENT</v>
          </cell>
        </row>
        <row r="12">
          <cell r="D12" t="str">
            <v>Income statement - Euros</v>
          </cell>
        </row>
        <row r="13">
          <cell r="C13">
            <v>205</v>
          </cell>
          <cell r="D13" t="str">
            <v>Operating revenues - user fees</v>
          </cell>
          <cell r="E13" t="str">
            <v>Th EUR</v>
          </cell>
          <cell r="F13">
            <v>3991.4755910606245</v>
          </cell>
          <cell r="G13">
            <v>5902.6757577508843</v>
          </cell>
          <cell r="H13">
            <v>8447.7949284814749</v>
          </cell>
          <cell r="I13">
            <v>12051.885015737387</v>
          </cell>
          <cell r="J13">
            <v>15111.398601662646</v>
          </cell>
          <cell r="K13">
            <v>15910.046810112739</v>
          </cell>
          <cell r="L13">
            <v>18469.020969740333</v>
          </cell>
          <cell r="M13">
            <v>18998.108520949248</v>
          </cell>
          <cell r="N13">
            <v>19484.127077427212</v>
          </cell>
          <cell r="O13">
            <v>19970.727131717413</v>
          </cell>
          <cell r="P13">
            <v>20456.012528064108</v>
          </cell>
          <cell r="Q13">
            <v>21221.822771346098</v>
          </cell>
          <cell r="R13">
            <v>21757.174779200806</v>
          </cell>
          <cell r="S13">
            <v>21868.278119474944</v>
          </cell>
          <cell r="T13">
            <v>22392.184499531839</v>
          </cell>
          <cell r="U13">
            <v>22947.205447342567</v>
          </cell>
          <cell r="V13">
            <v>23517.336108537977</v>
          </cell>
          <cell r="W13">
            <v>24098.347006031188</v>
          </cell>
          <cell r="X13">
            <v>24692.237549661368</v>
          </cell>
          <cell r="Y13">
            <v>25236.399508851613</v>
          </cell>
          <cell r="Z13">
            <v>25937.308071036121</v>
          </cell>
          <cell r="AA13">
            <v>26677.896647576388</v>
          </cell>
          <cell r="AB13">
            <v>27394.78579304626</v>
          </cell>
          <cell r="AC13">
            <v>28135.952908826475</v>
          </cell>
          <cell r="AD13">
            <v>28901.28119311704</v>
          </cell>
          <cell r="AE13">
            <v>23957.986895385144</v>
          </cell>
          <cell r="AF13">
            <v>24720.90238052751</v>
          </cell>
          <cell r="AG13">
            <v>25512.614716287972</v>
          </cell>
          <cell r="AH13">
            <v>26332.739679166265</v>
          </cell>
          <cell r="AI13">
            <v>27177.444500202782</v>
          </cell>
          <cell r="AJ13">
            <v>28052.414188791732</v>
          </cell>
          <cell r="AK13">
            <v>28960.740724726536</v>
          </cell>
          <cell r="AL13">
            <v>25419.522716526633</v>
          </cell>
        </row>
        <row r="14">
          <cell r="C14">
            <v>206</v>
          </cell>
          <cell r="D14" t="str">
            <v>Sale of recyclables and compost</v>
          </cell>
          <cell r="E14" t="str">
            <v>Th EUR</v>
          </cell>
          <cell r="F14">
            <v>29.33593269785106</v>
          </cell>
          <cell r="G14">
            <v>29.846803806039201</v>
          </cell>
          <cell r="H14">
            <v>31.613069131131994</v>
          </cell>
          <cell r="I14">
            <v>48.520515384275839</v>
          </cell>
          <cell r="J14">
            <v>461.55694532616099</v>
          </cell>
          <cell r="K14">
            <v>475.7636572364969</v>
          </cell>
          <cell r="L14">
            <v>512.28983984821969</v>
          </cell>
          <cell r="M14">
            <v>526.70060463939717</v>
          </cell>
          <cell r="N14">
            <v>540.39912622960003</v>
          </cell>
          <cell r="O14">
            <v>553.1408887455882</v>
          </cell>
          <cell r="P14">
            <v>564.85544332868483</v>
          </cell>
          <cell r="Q14">
            <v>576.59419543180525</v>
          </cell>
          <cell r="R14">
            <v>612.64579878430948</v>
          </cell>
          <cell r="S14">
            <v>624.65921031965888</v>
          </cell>
          <cell r="T14">
            <v>636.81539639525363</v>
          </cell>
          <cell r="U14">
            <v>648.79621469692177</v>
          </cell>
          <cell r="V14">
            <v>660.94736736081643</v>
          </cell>
          <cell r="W14">
            <v>673.02318842849968</v>
          </cell>
          <cell r="X14">
            <v>685.11135763750792</v>
          </cell>
          <cell r="Y14">
            <v>694.91639663420438</v>
          </cell>
          <cell r="Z14">
            <v>710.03455461275121</v>
          </cell>
          <cell r="AA14">
            <v>725.39481600656097</v>
          </cell>
          <cell r="AB14">
            <v>741.05778973054646</v>
          </cell>
          <cell r="AC14">
            <v>757.09067318432096</v>
          </cell>
          <cell r="AD14">
            <v>773.60997727908511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C15">
            <v>207</v>
          </cell>
          <cell r="D15" t="str">
            <v>Sale of energy</v>
          </cell>
          <cell r="E15" t="str">
            <v>Th EUR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C16">
            <v>208</v>
          </cell>
          <cell r="D16" t="str">
            <v>Other revenues</v>
          </cell>
          <cell r="E16" t="str">
            <v>Th EUR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C17">
            <v>209</v>
          </cell>
          <cell r="D17" t="str">
            <v>TOTAL REVENUES</v>
          </cell>
          <cell r="E17" t="str">
            <v>Th EUR</v>
          </cell>
          <cell r="F17">
            <v>4020.8115237584757</v>
          </cell>
          <cell r="G17">
            <v>5932.5225615569234</v>
          </cell>
          <cell r="H17">
            <v>8479.4079976126068</v>
          </cell>
          <cell r="I17">
            <v>12100.405531121663</v>
          </cell>
          <cell r="J17">
            <v>15572.955546988807</v>
          </cell>
          <cell r="K17">
            <v>16385.810467349234</v>
          </cell>
          <cell r="L17">
            <v>18981.310809588555</v>
          </cell>
          <cell r="M17">
            <v>19524.809125588647</v>
          </cell>
          <cell r="N17">
            <v>20024.526203656813</v>
          </cell>
          <cell r="O17">
            <v>20523.868020463</v>
          </cell>
          <cell r="P17">
            <v>21020.867971392792</v>
          </cell>
          <cell r="Q17">
            <v>21798.416966777902</v>
          </cell>
          <cell r="R17">
            <v>22369.820577985116</v>
          </cell>
          <cell r="S17">
            <v>22492.937329794604</v>
          </cell>
          <cell r="T17">
            <v>23028.999895927092</v>
          </cell>
          <cell r="U17">
            <v>23596.001662039489</v>
          </cell>
          <cell r="V17">
            <v>24178.283475898792</v>
          </cell>
          <cell r="W17">
            <v>24771.370194459687</v>
          </cell>
          <cell r="X17">
            <v>25377.348907298874</v>
          </cell>
          <cell r="Y17">
            <v>25931.315905485819</v>
          </cell>
          <cell r="Z17">
            <v>26647.342625648871</v>
          </cell>
          <cell r="AA17">
            <v>27403.291463582947</v>
          </cell>
          <cell r="AB17">
            <v>28135.843582776804</v>
          </cell>
          <cell r="AC17">
            <v>28893.043582010796</v>
          </cell>
          <cell r="AD17">
            <v>29674.891170396124</v>
          </cell>
          <cell r="AE17">
            <v>23957.986895385144</v>
          </cell>
          <cell r="AF17">
            <v>24720.90238052751</v>
          </cell>
          <cell r="AG17">
            <v>25512.614716287972</v>
          </cell>
          <cell r="AH17">
            <v>26332.739679166265</v>
          </cell>
          <cell r="AI17">
            <v>27177.444500202782</v>
          </cell>
          <cell r="AJ17">
            <v>28052.414188791732</v>
          </cell>
          <cell r="AK17">
            <v>28960.740724726536</v>
          </cell>
          <cell r="AL17">
            <v>25419.522716526633</v>
          </cell>
        </row>
        <row r="18">
          <cell r="C18">
            <v>210</v>
          </cell>
          <cell r="D18" t="str">
            <v>Operating costs - collection (including transfer stations)</v>
          </cell>
          <cell r="E18" t="str">
            <v>Th EUR</v>
          </cell>
          <cell r="F18">
            <v>-1160.3200961816358</v>
          </cell>
          <cell r="G18">
            <v>-2009.5058954345043</v>
          </cell>
          <cell r="H18">
            <v>-3307.3956323568636</v>
          </cell>
          <cell r="I18">
            <v>-4300.9920000000002</v>
          </cell>
          <cell r="J18">
            <v>-6841.8711248009049</v>
          </cell>
          <cell r="K18">
            <v>-7061.7885158225172</v>
          </cell>
          <cell r="L18">
            <v>-7270.2431310177226</v>
          </cell>
          <cell r="M18">
            <v>-7454.5197703513077</v>
          </cell>
          <cell r="N18">
            <v>-7626.8385398784621</v>
          </cell>
          <cell r="O18">
            <v>-7777.3222521751659</v>
          </cell>
          <cell r="P18">
            <v>-7928.9027604324747</v>
          </cell>
          <cell r="Q18">
            <v>-8080.8544063098898</v>
          </cell>
          <cell r="R18">
            <v>-8240.2797693285174</v>
          </cell>
          <cell r="S18">
            <v>-8391.6521443053807</v>
          </cell>
          <cell r="T18">
            <v>-8544.5782312841002</v>
          </cell>
          <cell r="U18">
            <v>-8696.138908804347</v>
          </cell>
          <cell r="V18">
            <v>-8849.6718408660981</v>
          </cell>
          <cell r="W18">
            <v>-9002.5873236081243</v>
          </cell>
          <cell r="X18">
            <v>-9156.1371135591307</v>
          </cell>
          <cell r="Y18">
            <v>-9286.3360176260194</v>
          </cell>
          <cell r="Z18">
            <v>-9471.0247546682585</v>
          </cell>
          <cell r="AA18">
            <v>-9657.9990879430206</v>
          </cell>
          <cell r="AB18">
            <v>-9848.2487020221906</v>
          </cell>
          <cell r="AC18">
            <v>-10042.638048750636</v>
          </cell>
          <cell r="AD18">
            <v>-10241.809365489798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C19">
            <v>211</v>
          </cell>
          <cell r="D19" t="str">
            <v>Operating costs - sorting/treatment</v>
          </cell>
          <cell r="E19" t="str">
            <v>Th EUR</v>
          </cell>
          <cell r="F19">
            <v>-552.42210823654966</v>
          </cell>
          <cell r="G19">
            <v>-563.26624497495754</v>
          </cell>
          <cell r="H19">
            <v>-576.27920906104691</v>
          </cell>
          <cell r="I19">
            <v>-1067.949832368728</v>
          </cell>
          <cell r="J19">
            <v>-2061.8232089837011</v>
          </cell>
          <cell r="K19">
            <v>-2139.9829895817315</v>
          </cell>
          <cell r="L19">
            <v>-2227.6762731053573</v>
          </cell>
          <cell r="M19">
            <v>-2291.222560179533</v>
          </cell>
          <cell r="N19">
            <v>-2350.3599873313287</v>
          </cell>
          <cell r="O19">
            <v>-4271.2216043897142</v>
          </cell>
          <cell r="P19">
            <v>-4360.5804297726072</v>
          </cell>
          <cell r="Q19">
            <v>-4451.3725753428735</v>
          </cell>
          <cell r="R19">
            <v>-4573.6115401264378</v>
          </cell>
          <cell r="S19">
            <v>-4667.4607459933068</v>
          </cell>
          <cell r="T19">
            <v>-4763.0443620964916</v>
          </cell>
          <cell r="U19">
            <v>-4859.8238447387666</v>
          </cell>
          <cell r="V19">
            <v>-4958.4875785160684</v>
          </cell>
          <cell r="W19">
            <v>-5058.5738346411108</v>
          </cell>
          <cell r="X19">
            <v>-5160.3405408269964</v>
          </cell>
          <cell r="Y19">
            <v>-5259.239727783126</v>
          </cell>
          <cell r="Z19">
            <v>-5370.2095547005792</v>
          </cell>
          <cell r="AA19">
            <v>-5483.4209453702733</v>
          </cell>
          <cell r="AB19">
            <v>-5598.9806043606422</v>
          </cell>
          <cell r="AC19">
            <v>-5717.0984189018081</v>
          </cell>
          <cell r="AD19">
            <v>-5837.9634072042672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C20">
            <v>212</v>
          </cell>
          <cell r="D20" t="str">
            <v>Operating costs - incineration</v>
          </cell>
          <cell r="E20" t="str">
            <v>Th EUR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C21">
            <v>213</v>
          </cell>
          <cell r="D21" t="str">
            <v>Operating costs - landfilling</v>
          </cell>
          <cell r="E21" t="str">
            <v>Th EUR</v>
          </cell>
          <cell r="F21">
            <v>-461.74290091724157</v>
          </cell>
          <cell r="G21">
            <v>-505.54816469627957</v>
          </cell>
          <cell r="H21">
            <v>-523.29127155788751</v>
          </cell>
          <cell r="I21">
            <v>-547.38160118589917</v>
          </cell>
          <cell r="J21">
            <v>-1731.4944643564477</v>
          </cell>
          <cell r="K21">
            <v>-1769.5390330793807</v>
          </cell>
          <cell r="L21">
            <v>-1780.5127655003769</v>
          </cell>
          <cell r="M21">
            <v>-1823.0477966994347</v>
          </cell>
          <cell r="N21">
            <v>-1891.790193626284</v>
          </cell>
          <cell r="O21">
            <v>-1811.252740828412</v>
          </cell>
          <cell r="P21">
            <v>-1847.1004110372719</v>
          </cell>
          <cell r="Q21">
            <v>-1374.6042450333166</v>
          </cell>
          <cell r="R21">
            <v>-1396.2706871477305</v>
          </cell>
          <cell r="S21">
            <v>-1422.8773442305965</v>
          </cell>
          <cell r="T21">
            <v>-1449.8451048459913</v>
          </cell>
          <cell r="U21">
            <v>-1476.8899233538457</v>
          </cell>
          <cell r="V21">
            <v>-1504.3794841118217</v>
          </cell>
          <cell r="W21">
            <v>-1532.008742507438</v>
          </cell>
          <cell r="X21">
            <v>-1559.9802281392772</v>
          </cell>
          <cell r="Y21">
            <v>-1585.4582500733261</v>
          </cell>
          <cell r="Z21">
            <v>-1617.454436777643</v>
          </cell>
          <cell r="AA21">
            <v>-1649.9213300841323</v>
          </cell>
          <cell r="AB21">
            <v>-1683.008845990757</v>
          </cell>
          <cell r="AC21">
            <v>-1716.8511619373267</v>
          </cell>
          <cell r="AD21">
            <v>-1751.452249528425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C22">
            <v>214</v>
          </cell>
          <cell r="D22" t="str">
            <v>Other operating costs</v>
          </cell>
          <cell r="E22" t="str">
            <v>Th EUR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C23">
            <v>215</v>
          </cell>
          <cell r="D23" t="str">
            <v>TOTAL O&amp;M COSTS</v>
          </cell>
          <cell r="E23" t="str">
            <v>Th EUR</v>
          </cell>
          <cell r="F23">
            <v>-2174.4851053354269</v>
          </cell>
          <cell r="G23">
            <v>-3078.3203051057412</v>
          </cell>
          <cell r="H23">
            <v>-4406.9661129757978</v>
          </cell>
          <cell r="I23">
            <v>-5916.3234335546267</v>
          </cell>
          <cell r="J23">
            <v>-10635.188798141055</v>
          </cell>
          <cell r="K23">
            <v>-10971.310538483631</v>
          </cell>
          <cell r="L23">
            <v>-11278.432169623457</v>
          </cell>
          <cell r="M23">
            <v>-11568.790127230275</v>
          </cell>
          <cell r="N23">
            <v>-11868.988720836076</v>
          </cell>
          <cell r="O23">
            <v>-13859.796597393291</v>
          </cell>
          <cell r="P23">
            <v>-14136.583601242355</v>
          </cell>
          <cell r="Q23">
            <v>-13906.831226686079</v>
          </cell>
          <cell r="R23">
            <v>-14210.161996602686</v>
          </cell>
          <cell r="S23">
            <v>-14481.990234529283</v>
          </cell>
          <cell r="T23">
            <v>-14757.467698226583</v>
          </cell>
          <cell r="U23">
            <v>-15032.852676896959</v>
          </cell>
          <cell r="V23">
            <v>-15312.538903493987</v>
          </cell>
          <cell r="W23">
            <v>-15593.169900756673</v>
          </cell>
          <cell r="X23">
            <v>-15876.457882525403</v>
          </cell>
          <cell r="Y23">
            <v>-16131.033995482472</v>
          </cell>
          <cell r="Z23">
            <v>-16458.688746146479</v>
          </cell>
          <cell r="AA23">
            <v>-16791.341363397427</v>
          </cell>
          <cell r="AB23">
            <v>-17130.238152373589</v>
          </cell>
          <cell r="AC23">
            <v>-17476.587629589772</v>
          </cell>
          <cell r="AD23">
            <v>-17831.22502222249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C24">
            <v>216</v>
          </cell>
          <cell r="D24" t="str">
            <v>EBITDA</v>
          </cell>
          <cell r="E24" t="str">
            <v>Th EUR</v>
          </cell>
          <cell r="F24">
            <v>1846.3264184230488</v>
          </cell>
          <cell r="G24">
            <v>2854.2022564511822</v>
          </cell>
          <cell r="H24">
            <v>4072.4418846368089</v>
          </cell>
          <cell r="I24">
            <v>6184.0820975670367</v>
          </cell>
          <cell r="J24">
            <v>4937.7667488477528</v>
          </cell>
          <cell r="K24">
            <v>5414.4999288656036</v>
          </cell>
          <cell r="L24">
            <v>7702.878639965098</v>
          </cell>
          <cell r="M24">
            <v>7956.0189983583714</v>
          </cell>
          <cell r="N24">
            <v>8155.5374828207368</v>
          </cell>
          <cell r="O24">
            <v>6664.0714230697085</v>
          </cell>
          <cell r="P24">
            <v>6884.2843701504371</v>
          </cell>
          <cell r="Q24">
            <v>7891.585740091823</v>
          </cell>
          <cell r="R24">
            <v>8159.6585813824295</v>
          </cell>
          <cell r="S24">
            <v>8010.947095265321</v>
          </cell>
          <cell r="T24">
            <v>8271.5321977005096</v>
          </cell>
          <cell r="U24">
            <v>8563.1489851425304</v>
          </cell>
          <cell r="V24">
            <v>8865.7445724048048</v>
          </cell>
          <cell r="W24">
            <v>9178.2002937030138</v>
          </cell>
          <cell r="X24">
            <v>9500.8910247734711</v>
          </cell>
          <cell r="Y24">
            <v>9800.2819100033466</v>
          </cell>
          <cell r="Z24">
            <v>10188.653879502392</v>
          </cell>
          <cell r="AA24">
            <v>10611.950100185521</v>
          </cell>
          <cell r="AB24">
            <v>11005.605430403215</v>
          </cell>
          <cell r="AC24">
            <v>11416.455952421024</v>
          </cell>
          <cell r="AD24">
            <v>11843.666148173634</v>
          </cell>
          <cell r="AE24">
            <v>23957.986895385144</v>
          </cell>
          <cell r="AF24">
            <v>24720.90238052751</v>
          </cell>
          <cell r="AG24">
            <v>25512.614716287972</v>
          </cell>
          <cell r="AH24">
            <v>26332.739679166265</v>
          </cell>
          <cell r="AI24">
            <v>27177.444500202782</v>
          </cell>
          <cell r="AJ24">
            <v>28052.414188791732</v>
          </cell>
          <cell r="AK24">
            <v>28960.740724726536</v>
          </cell>
          <cell r="AL24">
            <v>25419.522716526633</v>
          </cell>
        </row>
        <row r="25">
          <cell r="C25">
            <v>217</v>
          </cell>
          <cell r="D25" t="str">
            <v>Depreciation</v>
          </cell>
          <cell r="E25" t="str">
            <v>Th EUR</v>
          </cell>
          <cell r="F25">
            <v>0</v>
          </cell>
          <cell r="G25">
            <v>0</v>
          </cell>
          <cell r="H25">
            <v>0</v>
          </cell>
          <cell r="I25">
            <v>-961.37671755725205</v>
          </cell>
          <cell r="J25">
            <v>-3168.1208643295572</v>
          </cell>
          <cell r="K25">
            <v>-3131.2822496280523</v>
          </cell>
          <cell r="L25">
            <v>-3106.914294378028</v>
          </cell>
          <cell r="M25">
            <v>-3117.7942499987494</v>
          </cell>
          <cell r="N25">
            <v>-3108.6511583565234</v>
          </cell>
          <cell r="O25">
            <v>-3613.5495964872471</v>
          </cell>
          <cell r="P25">
            <v>-3613.5495964872466</v>
          </cell>
          <cell r="Q25">
            <v>-3624.4743036282753</v>
          </cell>
          <cell r="R25">
            <v>-3981.0876980484013</v>
          </cell>
          <cell r="S25">
            <v>-3981.0876980484004</v>
          </cell>
          <cell r="T25">
            <v>-2279.913960613022</v>
          </cell>
          <cell r="U25">
            <v>-2279.913960613027</v>
          </cell>
          <cell r="V25">
            <v>-2279.9139606130188</v>
          </cell>
          <cell r="W25">
            <v>-2315.455945081459</v>
          </cell>
          <cell r="X25">
            <v>-2315.4559450814654</v>
          </cell>
          <cell r="Y25">
            <v>-2898.3908999937275</v>
          </cell>
          <cell r="Z25">
            <v>-3305.3402986916112</v>
          </cell>
          <cell r="AA25">
            <v>-3305.3402986916094</v>
          </cell>
          <cell r="AB25">
            <v>-3316.6598821798602</v>
          </cell>
          <cell r="AC25">
            <v>-2754.0511151317078</v>
          </cell>
          <cell r="AD25">
            <v>-2979.3954360181792</v>
          </cell>
          <cell r="AE25">
            <v>-3009.0261029856856</v>
          </cell>
          <cell r="AF25">
            <v>-1212.9293184752753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C26">
            <v>218</v>
          </cell>
          <cell r="D26" t="str">
            <v>Write-off of bad debts</v>
          </cell>
          <cell r="E26" t="str">
            <v>Th EUR</v>
          </cell>
          <cell r="I26">
            <v>-438.4064885496183</v>
          </cell>
          <cell r="J26">
            <v>-287.7571546464676</v>
          </cell>
          <cell r="K26">
            <v>-165.90649904520177</v>
          </cell>
          <cell r="L26">
            <v>-233.66726161926286</v>
          </cell>
          <cell r="M26">
            <v>-303.95191050857539</v>
          </cell>
          <cell r="N26">
            <v>-322.63079946899904</v>
          </cell>
          <cell r="O26">
            <v>-376.66653823133203</v>
          </cell>
          <cell r="P26">
            <v>-389.35103241643088</v>
          </cell>
          <cell r="Q26">
            <v>-400.49052407313661</v>
          </cell>
          <cell r="R26">
            <v>-410.47736040926037</v>
          </cell>
          <cell r="S26">
            <v>-420.41735942785635</v>
          </cell>
          <cell r="T26">
            <v>-435.9683393355586</v>
          </cell>
          <cell r="U26">
            <v>-447.39641155970276</v>
          </cell>
          <cell r="V26">
            <v>-449.8587465958924</v>
          </cell>
          <cell r="W26">
            <v>-460.57999791854229</v>
          </cell>
          <cell r="X26">
            <v>-471.92003324079008</v>
          </cell>
          <cell r="Y26">
            <v>-483.56566951797629</v>
          </cell>
          <cell r="Z26">
            <v>-495.42740388919418</v>
          </cell>
          <cell r="AA26">
            <v>-507.54697814597807</v>
          </cell>
          <cell r="AB26">
            <v>-518.62631810971675</v>
          </cell>
          <cell r="AC26">
            <v>-532.9468525129779</v>
          </cell>
          <cell r="AD26">
            <v>-548.06582927165948</v>
          </cell>
          <cell r="AE26">
            <v>-562.71687165553647</v>
          </cell>
          <cell r="AF26">
            <v>-577.86087164021649</v>
          </cell>
          <cell r="AG26">
            <v>-593.49782340792285</v>
          </cell>
          <cell r="AH26">
            <v>-479.15973790770323</v>
          </cell>
          <cell r="AI26">
            <v>-494.41804761055062</v>
          </cell>
          <cell r="AJ26">
            <v>-510.25229432575986</v>
          </cell>
          <cell r="AK26">
            <v>-526.65479358332573</v>
          </cell>
          <cell r="AL26">
            <v>-543.54889000405615</v>
          </cell>
        </row>
        <row r="27">
          <cell r="C27">
            <v>219</v>
          </cell>
          <cell r="D27" t="str">
            <v>Current portion of investment grants</v>
          </cell>
          <cell r="E27" t="str">
            <v>Th EUR</v>
          </cell>
          <cell r="I27">
            <v>4.3840648854961826</v>
          </cell>
          <cell r="J27">
            <v>1566.9030935141818</v>
          </cell>
          <cell r="K27">
            <v>1548.6832901012265</v>
          </cell>
          <cell r="L27">
            <v>1536.6312800615283</v>
          </cell>
          <cell r="M27">
            <v>1529.1355177197647</v>
          </cell>
          <cell r="N27">
            <v>1524.6512493393552</v>
          </cell>
          <cell r="O27">
            <v>1524.6512493393552</v>
          </cell>
          <cell r="P27">
            <v>1524.6512493393552</v>
          </cell>
          <cell r="Q27">
            <v>1524.6512493393552</v>
          </cell>
          <cell r="R27">
            <v>1524.6512493393552</v>
          </cell>
          <cell r="S27">
            <v>1520.4512834274167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C28">
            <v>220</v>
          </cell>
          <cell r="D28" t="str">
            <v>EBIT</v>
          </cell>
          <cell r="E28" t="str">
            <v>Th EUR</v>
          </cell>
          <cell r="F28">
            <v>1846.3264184230488</v>
          </cell>
          <cell r="G28">
            <v>2854.2022564511822</v>
          </cell>
          <cell r="H28">
            <v>4072.4418846368089</v>
          </cell>
          <cell r="I28">
            <v>4788.6829563456631</v>
          </cell>
          <cell r="J28">
            <v>3048.79182338591</v>
          </cell>
          <cell r="K28">
            <v>3665.9944702935763</v>
          </cell>
          <cell r="L28">
            <v>5898.9283640293361</v>
          </cell>
          <cell r="M28">
            <v>6063.4083555708112</v>
          </cell>
          <cell r="N28">
            <v>6248.9067743345695</v>
          </cell>
          <cell r="O28">
            <v>4198.506537690484</v>
          </cell>
          <cell r="P28">
            <v>4406.0349905861149</v>
          </cell>
          <cell r="Q28">
            <v>5391.2721617297666</v>
          </cell>
          <cell r="R28">
            <v>5292.7447722641236</v>
          </cell>
          <cell r="S28">
            <v>5129.8933212164811</v>
          </cell>
          <cell r="T28">
            <v>5555.6498977519286</v>
          </cell>
          <cell r="U28">
            <v>5835.838612969801</v>
          </cell>
          <cell r="V28">
            <v>6135.9718651958929</v>
          </cell>
          <cell r="W28">
            <v>6402.1643507030121</v>
          </cell>
          <cell r="X28">
            <v>6713.5150464512162</v>
          </cell>
          <cell r="Y28">
            <v>6418.3253404916431</v>
          </cell>
          <cell r="Z28">
            <v>6387.8861769215855</v>
          </cell>
          <cell r="AA28">
            <v>6799.0628233479329</v>
          </cell>
          <cell r="AB28">
            <v>7170.3192301136387</v>
          </cell>
          <cell r="AC28">
            <v>8129.457984776338</v>
          </cell>
          <cell r="AD28">
            <v>8316.2048828837942</v>
          </cell>
          <cell r="AE28">
            <v>20386.243920743924</v>
          </cell>
          <cell r="AF28">
            <v>22930.112190412019</v>
          </cell>
          <cell r="AG28">
            <v>24919.116892880047</v>
          </cell>
          <cell r="AH28">
            <v>25853.579941258562</v>
          </cell>
          <cell r="AI28">
            <v>26683.026452592232</v>
          </cell>
          <cell r="AJ28">
            <v>27542.161894465971</v>
          </cell>
          <cell r="AK28">
            <v>28434.08593114321</v>
          </cell>
          <cell r="AL28">
            <v>24875.973826522579</v>
          </cell>
        </row>
        <row r="29">
          <cell r="C29">
            <v>221</v>
          </cell>
          <cell r="D29" t="str">
            <v>Interests</v>
          </cell>
          <cell r="E29" t="str">
            <v>Th EUR</v>
          </cell>
          <cell r="F29">
            <v>0</v>
          </cell>
          <cell r="G29">
            <v>0</v>
          </cell>
          <cell r="H29">
            <v>0</v>
          </cell>
          <cell r="I29">
            <v>-48.987005036597651</v>
          </cell>
          <cell r="J29">
            <v>-115.73904075525002</v>
          </cell>
          <cell r="K29">
            <v>-115.73904075525002</v>
          </cell>
          <cell r="L29">
            <v>-115.73904075525002</v>
          </cell>
          <cell r="M29">
            <v>-115.73904075525002</v>
          </cell>
          <cell r="N29">
            <v>-115.73904075525002</v>
          </cell>
          <cell r="O29">
            <v>-110.57411689533937</v>
          </cell>
          <cell r="P29">
            <v>-105.12512222313366</v>
          </cell>
          <cell r="Q29">
            <v>-99.376432843956621</v>
          </cell>
          <cell r="R29">
            <v>-93.311565548924847</v>
          </cell>
          <cell r="S29">
            <v>-86.913130552666331</v>
          </cell>
          <cell r="T29">
            <v>-80.162781631613583</v>
          </cell>
          <cell r="U29">
            <v>-73.041163519902952</v>
          </cell>
          <cell r="V29">
            <v>-65.527856412048223</v>
          </cell>
          <cell r="W29">
            <v>-57.601317413261484</v>
          </cell>
          <cell r="X29">
            <v>-49.238818769541474</v>
          </cell>
          <cell r="Y29">
            <v>-40.416382700416868</v>
          </cell>
          <cell r="Z29">
            <v>-31.10871264749041</v>
          </cell>
          <cell r="AA29">
            <v>-21.28912074165299</v>
          </cell>
          <cell r="AB29">
            <v>-10.929451280994519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C30">
            <v>222</v>
          </cell>
          <cell r="D30" t="str">
            <v>Foreign exchange correction</v>
          </cell>
          <cell r="E30" t="str">
            <v>Th EUR</v>
          </cell>
          <cell r="I30">
            <v>0</v>
          </cell>
          <cell r="J30">
            <v>-32.499555143629451</v>
          </cell>
          <cell r="K30">
            <v>-24.469141808720803</v>
          </cell>
          <cell r="L30">
            <v>-16.376234984824766</v>
          </cell>
          <cell r="M30">
            <v>-10.265103392926614</v>
          </cell>
          <cell r="N30">
            <v>-6.1711032127563481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3.2748859572184187E-13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-1.8553182368765472E-13</v>
          </cell>
          <cell r="Y30">
            <v>1.5228889272024977E-13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C31">
            <v>223</v>
          </cell>
          <cell r="D31" t="str">
            <v>EBT</v>
          </cell>
          <cell r="E31" t="str">
            <v>Th EUR</v>
          </cell>
          <cell r="F31">
            <v>1846.3264184230488</v>
          </cell>
          <cell r="G31">
            <v>2854.2022564511822</v>
          </cell>
          <cell r="H31">
            <v>4072.4418846368089</v>
          </cell>
          <cell r="I31">
            <v>4739.6959513090651</v>
          </cell>
          <cell r="J31">
            <v>2900.5532274870302</v>
          </cell>
          <cell r="K31">
            <v>3525.7862877296052</v>
          </cell>
          <cell r="L31">
            <v>5766.813088289261</v>
          </cell>
          <cell r="M31">
            <v>5937.404211422634</v>
          </cell>
          <cell r="N31">
            <v>6126.9966303665633</v>
          </cell>
          <cell r="O31">
            <v>4087.9324207951445</v>
          </cell>
          <cell r="P31">
            <v>4300.9098683629809</v>
          </cell>
          <cell r="Q31">
            <v>5291.8957288858101</v>
          </cell>
          <cell r="R31">
            <v>5199.433206715199</v>
          </cell>
          <cell r="S31">
            <v>5042.9801906638149</v>
          </cell>
          <cell r="T31">
            <v>5475.4871161203155</v>
          </cell>
          <cell r="U31">
            <v>5762.7974494498985</v>
          </cell>
          <cell r="V31">
            <v>6070.4440087838448</v>
          </cell>
          <cell r="W31">
            <v>6344.5630332897508</v>
          </cell>
          <cell r="X31">
            <v>6664.2762276816748</v>
          </cell>
          <cell r="Y31">
            <v>6377.9089577912264</v>
          </cell>
          <cell r="Z31">
            <v>6356.7774642740951</v>
          </cell>
          <cell r="AA31">
            <v>6777.7737026062796</v>
          </cell>
          <cell r="AB31">
            <v>7159.389778832644</v>
          </cell>
          <cell r="AC31">
            <v>8129.457984776338</v>
          </cell>
          <cell r="AD31">
            <v>8316.2048828837942</v>
          </cell>
          <cell r="AE31">
            <v>20386.243920743924</v>
          </cell>
          <cell r="AF31">
            <v>22930.112190412019</v>
          </cell>
          <cell r="AG31">
            <v>24919.116892880047</v>
          </cell>
          <cell r="AH31">
            <v>25853.579941258562</v>
          </cell>
          <cell r="AI31">
            <v>26683.026452592232</v>
          </cell>
          <cell r="AJ31">
            <v>27542.161894465971</v>
          </cell>
          <cell r="AK31">
            <v>28434.08593114321</v>
          </cell>
          <cell r="AL31">
            <v>24875.973826522579</v>
          </cell>
        </row>
        <row r="32">
          <cell r="C32">
            <v>224</v>
          </cell>
          <cell r="D32" t="str">
            <v>Income tax</v>
          </cell>
          <cell r="E32" t="str">
            <v>Th EUR</v>
          </cell>
          <cell r="F32">
            <v>0</v>
          </cell>
          <cell r="G32">
            <v>0</v>
          </cell>
          <cell r="H32">
            <v>0</v>
          </cell>
          <cell r="I32">
            <v>-758.35135220945006</v>
          </cell>
          <cell r="J32">
            <v>-464.08851639792448</v>
          </cell>
          <cell r="K32">
            <v>-564.12580603673803</v>
          </cell>
          <cell r="L32">
            <v>-922.690094126281</v>
          </cell>
          <cell r="M32">
            <v>-949.98467382762158</v>
          </cell>
          <cell r="N32">
            <v>-980.3194608586499</v>
          </cell>
          <cell r="O32">
            <v>-654.0691873272234</v>
          </cell>
          <cell r="P32">
            <v>-688.14557893807785</v>
          </cell>
          <cell r="Q32">
            <v>-846.70331662173021</v>
          </cell>
          <cell r="R32">
            <v>-831.90931307443202</v>
          </cell>
          <cell r="S32">
            <v>-806.87683050621013</v>
          </cell>
          <cell r="T32">
            <v>-876.07793857925049</v>
          </cell>
          <cell r="U32">
            <v>-922.04759191198286</v>
          </cell>
          <cell r="V32">
            <v>-971.2710414054153</v>
          </cell>
          <cell r="W32">
            <v>-1015.1300853263599</v>
          </cell>
          <cell r="X32">
            <v>-1066.2841964290681</v>
          </cell>
          <cell r="Y32">
            <v>-1020.4654332465955</v>
          </cell>
          <cell r="Z32">
            <v>-1017.0843942838555</v>
          </cell>
          <cell r="AA32">
            <v>-1084.4437924170052</v>
          </cell>
          <cell r="AB32">
            <v>-1145.5023646132224</v>
          </cell>
          <cell r="AC32">
            <v>-1300.7132775642146</v>
          </cell>
          <cell r="AD32">
            <v>-1330.5927812614075</v>
          </cell>
          <cell r="AE32">
            <v>-3261.7990273190276</v>
          </cell>
          <cell r="AF32">
            <v>-3668.8179504659238</v>
          </cell>
          <cell r="AG32">
            <v>-3987.0587028608079</v>
          </cell>
          <cell r="AH32">
            <v>-4136.5727906013708</v>
          </cell>
          <cell r="AI32">
            <v>-4269.2842324147578</v>
          </cell>
          <cell r="AJ32">
            <v>-4406.7459031145563</v>
          </cell>
          <cell r="AK32">
            <v>-4549.4537489829136</v>
          </cell>
          <cell r="AL32">
            <v>-3980.1558122436131</v>
          </cell>
        </row>
        <row r="33">
          <cell r="C33">
            <v>225</v>
          </cell>
          <cell r="D33" t="str">
            <v>NET INCOME</v>
          </cell>
          <cell r="E33" t="str">
            <v>Th EUR</v>
          </cell>
          <cell r="F33">
            <v>1846.3264184230488</v>
          </cell>
          <cell r="G33">
            <v>2854.2022564511822</v>
          </cell>
          <cell r="H33">
            <v>4072.4418846368089</v>
          </cell>
          <cell r="I33">
            <v>3981.3445990996152</v>
          </cell>
          <cell r="J33">
            <v>2436.4647110891055</v>
          </cell>
          <cell r="K33">
            <v>2961.6604816928671</v>
          </cell>
          <cell r="L33">
            <v>4844.1229941629799</v>
          </cell>
          <cell r="M33">
            <v>4987.4195375950121</v>
          </cell>
          <cell r="N33">
            <v>5146.6771695079133</v>
          </cell>
          <cell r="O33">
            <v>3433.863233467921</v>
          </cell>
          <cell r="P33">
            <v>3612.7642894249029</v>
          </cell>
          <cell r="Q33">
            <v>4445.1924122640794</v>
          </cell>
          <cell r="R33">
            <v>4367.5238936407668</v>
          </cell>
          <cell r="S33">
            <v>4236.1033601576046</v>
          </cell>
          <cell r="T33">
            <v>4599.4091775410652</v>
          </cell>
          <cell r="U33">
            <v>4840.7498575379159</v>
          </cell>
          <cell r="V33">
            <v>5099.1729673784293</v>
          </cell>
          <cell r="W33">
            <v>5329.4329479633907</v>
          </cell>
          <cell r="X33">
            <v>5597.9920312526065</v>
          </cell>
          <cell r="Y33">
            <v>5357.4435245446311</v>
          </cell>
          <cell r="Z33">
            <v>5339.6930699902396</v>
          </cell>
          <cell r="AA33">
            <v>5693.3299101892744</v>
          </cell>
          <cell r="AB33">
            <v>6013.8874142194218</v>
          </cell>
          <cell r="AC33">
            <v>6828.7447072121231</v>
          </cell>
          <cell r="AD33">
            <v>6985.6121016223869</v>
          </cell>
          <cell r="AE33">
            <v>17124.444893424898</v>
          </cell>
          <cell r="AF33">
            <v>19261.294239946095</v>
          </cell>
          <cell r="AG33">
            <v>20932.058190019241</v>
          </cell>
          <cell r="AH33">
            <v>21717.007150657191</v>
          </cell>
          <cell r="AI33">
            <v>22413.742220177475</v>
          </cell>
          <cell r="AJ33">
            <v>23135.415991351416</v>
          </cell>
          <cell r="AK33">
            <v>23884.632182160298</v>
          </cell>
          <cell r="AL33">
            <v>20895.818014278964</v>
          </cell>
        </row>
        <row r="35">
          <cell r="C35">
            <v>226</v>
          </cell>
          <cell r="D35" t="str">
            <v>Income tax - Credit for previous years losses</v>
          </cell>
          <cell r="E35" t="str">
            <v>Th EUR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C36">
            <v>227</v>
          </cell>
          <cell r="D36" t="str">
            <v>Dividends</v>
          </cell>
          <cell r="E36" t="str">
            <v>Th EUR</v>
          </cell>
          <cell r="I36">
            <v>398.13445990996127</v>
          </cell>
          <cell r="J36">
            <v>243.6464711089103</v>
          </cell>
          <cell r="K36">
            <v>296.16604816928736</v>
          </cell>
          <cell r="L36">
            <v>484.41229941629757</v>
          </cell>
          <cell r="M36">
            <v>498.74195375950126</v>
          </cell>
          <cell r="N36">
            <v>514.66771695079115</v>
          </cell>
          <cell r="O36">
            <v>343.38632334679227</v>
          </cell>
          <cell r="P36">
            <v>361.2764289424909</v>
          </cell>
          <cell r="Q36">
            <v>444.51924122640838</v>
          </cell>
          <cell r="R36">
            <v>436.75238936407681</v>
          </cell>
          <cell r="S36">
            <v>423.61033601576042</v>
          </cell>
          <cell r="T36">
            <v>459.94091775410647</v>
          </cell>
          <cell r="U36">
            <v>484.07498575379105</v>
          </cell>
          <cell r="V36">
            <v>509.91729673784306</v>
          </cell>
          <cell r="W36">
            <v>532.94329479633916</v>
          </cell>
          <cell r="X36">
            <v>559.79920312526076</v>
          </cell>
          <cell r="Y36">
            <v>535.74435245446261</v>
          </cell>
          <cell r="Z36">
            <v>533.96930699902407</v>
          </cell>
          <cell r="AA36">
            <v>569.33299101892783</v>
          </cell>
          <cell r="AB36">
            <v>601.38874142194175</v>
          </cell>
          <cell r="AC36">
            <v>682.87447072121267</v>
          </cell>
          <cell r="AD36">
            <v>698.56121016223904</v>
          </cell>
          <cell r="AE36">
            <v>1712.4444893424895</v>
          </cell>
          <cell r="AF36">
            <v>1926.1294239946103</v>
          </cell>
          <cell r="AG36">
            <v>2093.2058190019243</v>
          </cell>
          <cell r="AH36">
            <v>2171.7007150657191</v>
          </cell>
          <cell r="AI36">
            <v>2241.3742220177473</v>
          </cell>
          <cell r="AJ36">
            <v>2313.5415991351424</v>
          </cell>
          <cell r="AK36">
            <v>2388.4632182160299</v>
          </cell>
          <cell r="AL36">
            <v>2089.5818014278966</v>
          </cell>
        </row>
        <row r="39">
          <cell r="C39" t="str">
            <v>CASH-FLOW STATEMENT</v>
          </cell>
        </row>
        <row r="43">
          <cell r="D43" t="str">
            <v>IFI's loan - Project</v>
          </cell>
        </row>
        <row r="44">
          <cell r="C44">
            <v>228</v>
          </cell>
          <cell r="D44" t="str">
            <v>Annual disbursements</v>
          </cell>
          <cell r="E44" t="str">
            <v>Th EUR</v>
          </cell>
          <cell r="I44">
            <v>2104.3461955500002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C45">
            <v>229</v>
          </cell>
          <cell r="D45" t="str">
            <v>Total disbursements</v>
          </cell>
          <cell r="E45" t="str">
            <v>Th EUR</v>
          </cell>
          <cell r="I45">
            <v>2104.3461955500002</v>
          </cell>
          <cell r="J45">
            <v>2104.3461955500002</v>
          </cell>
          <cell r="K45">
            <v>2104.3461955500002</v>
          </cell>
          <cell r="L45">
            <v>2104.3461955500002</v>
          </cell>
          <cell r="M45">
            <v>2104.3461955500002</v>
          </cell>
          <cell r="N45">
            <v>2104.3461955500002</v>
          </cell>
          <cell r="O45">
            <v>2104.3461955500002</v>
          </cell>
          <cell r="P45">
            <v>2104.3461955500002</v>
          </cell>
          <cell r="Q45">
            <v>2104.3461955500002</v>
          </cell>
          <cell r="R45">
            <v>2104.3461955500002</v>
          </cell>
          <cell r="S45">
            <v>2104.3461955500002</v>
          </cell>
          <cell r="T45">
            <v>2104.3461955500002</v>
          </cell>
          <cell r="U45">
            <v>2104.3461955500002</v>
          </cell>
          <cell r="V45">
            <v>2104.3461955500002</v>
          </cell>
          <cell r="W45">
            <v>2104.3461955500002</v>
          </cell>
          <cell r="X45">
            <v>2104.3461955500002</v>
          </cell>
          <cell r="Y45">
            <v>2104.3461955500002</v>
          </cell>
          <cell r="Z45">
            <v>2104.3461955500002</v>
          </cell>
          <cell r="AA45">
            <v>2104.3461955500002</v>
          </cell>
          <cell r="AB45">
            <v>2104.3461955500002</v>
          </cell>
          <cell r="AC45">
            <v>2104.3461955500002</v>
          </cell>
          <cell r="AD45">
            <v>2104.3461955500002</v>
          </cell>
          <cell r="AE45">
            <v>2104.3461955500002</v>
          </cell>
          <cell r="AF45">
            <v>2104.3461955500002</v>
          </cell>
          <cell r="AG45">
            <v>2104.3461955500002</v>
          </cell>
          <cell r="AH45">
            <v>2104.3461955500002</v>
          </cell>
          <cell r="AI45">
            <v>2104.3461955500002</v>
          </cell>
          <cell r="AJ45">
            <v>2104.3461955500002</v>
          </cell>
          <cell r="AK45">
            <v>2104.3461955500002</v>
          </cell>
          <cell r="AL45">
            <v>2104.3461955500002</v>
          </cell>
        </row>
        <row r="46">
          <cell r="C46">
            <v>230</v>
          </cell>
          <cell r="D46" t="str">
            <v>Pending disbursements</v>
          </cell>
          <cell r="E46" t="str">
            <v>Th EUR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C47">
            <v>231</v>
          </cell>
          <cell r="D47" t="str">
            <v>Loan amortization</v>
          </cell>
          <cell r="E47" t="str">
            <v>Th EUR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93.907706543829732</v>
          </cell>
          <cell r="O47">
            <v>99.072630403740376</v>
          </cell>
          <cell r="P47">
            <v>104.52162507594609</v>
          </cell>
          <cell r="Q47">
            <v>110.27031445512313</v>
          </cell>
          <cell r="R47">
            <v>116.3351817501549</v>
          </cell>
          <cell r="S47">
            <v>122.73361674641342</v>
          </cell>
          <cell r="T47">
            <v>129.48396566746618</v>
          </cell>
          <cell r="U47">
            <v>136.60558377917681</v>
          </cell>
          <cell r="V47">
            <v>144.11889088703151</v>
          </cell>
          <cell r="W47">
            <v>152.04542988581827</v>
          </cell>
          <cell r="X47">
            <v>160.40792852953828</v>
          </cell>
          <cell r="Y47">
            <v>169.23036459866287</v>
          </cell>
          <cell r="Z47">
            <v>178.53803465158933</v>
          </cell>
          <cell r="AA47">
            <v>188.35762655742676</v>
          </cell>
          <cell r="AB47">
            <v>198.71729601808522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C48">
            <v>232</v>
          </cell>
          <cell r="D48" t="str">
            <v>Loan balance</v>
          </cell>
          <cell r="E48" t="str">
            <v>Th EUR</v>
          </cell>
          <cell r="I48">
            <v>2104.3461955500002</v>
          </cell>
          <cell r="J48">
            <v>2104.3461955500002</v>
          </cell>
          <cell r="K48">
            <v>2104.3461955500002</v>
          </cell>
          <cell r="L48">
            <v>2104.3461955500002</v>
          </cell>
          <cell r="M48">
            <v>2104.3461955500002</v>
          </cell>
          <cell r="N48">
            <v>2010.4384890061704</v>
          </cell>
          <cell r="O48">
            <v>1911.3658586024301</v>
          </cell>
          <cell r="P48">
            <v>1806.844233526484</v>
          </cell>
          <cell r="Q48">
            <v>1696.5739190713609</v>
          </cell>
          <cell r="R48">
            <v>1580.2387373212059</v>
          </cell>
          <cell r="S48">
            <v>1457.5051205747925</v>
          </cell>
          <cell r="T48">
            <v>1328.0211549073263</v>
          </cell>
          <cell r="U48">
            <v>1191.4155711281494</v>
          </cell>
          <cell r="V48">
            <v>1047.2966802411179</v>
          </cell>
          <cell r="W48">
            <v>895.25125035529959</v>
          </cell>
          <cell r="X48">
            <v>734.84332182576122</v>
          </cell>
          <cell r="Y48">
            <v>565.61295722709838</v>
          </cell>
          <cell r="Z48">
            <v>387.07492257550894</v>
          </cell>
          <cell r="AA48">
            <v>198.71729601808215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C49">
            <v>233</v>
          </cell>
          <cell r="D49" t="str">
            <v>Interest</v>
          </cell>
          <cell r="E49" t="str">
            <v>Th EUR</v>
          </cell>
          <cell r="I49">
            <v>0</v>
          </cell>
          <cell r="J49">
            <v>115.73904075525002</v>
          </cell>
          <cell r="K49">
            <v>115.73904075525002</v>
          </cell>
          <cell r="L49">
            <v>115.73904075525002</v>
          </cell>
          <cell r="M49">
            <v>115.73904075525002</v>
          </cell>
          <cell r="N49">
            <v>115.73904075525002</v>
          </cell>
          <cell r="O49">
            <v>110.57411689533937</v>
          </cell>
          <cell r="P49">
            <v>105.12512222313366</v>
          </cell>
          <cell r="Q49">
            <v>99.376432843956621</v>
          </cell>
          <cell r="R49">
            <v>93.311565548924847</v>
          </cell>
          <cell r="S49">
            <v>86.913130552666331</v>
          </cell>
          <cell r="T49">
            <v>80.162781631613583</v>
          </cell>
          <cell r="U49">
            <v>73.041163519902952</v>
          </cell>
          <cell r="V49">
            <v>65.527856412048223</v>
          </cell>
          <cell r="W49">
            <v>57.601317413261484</v>
          </cell>
          <cell r="X49">
            <v>49.238818769541474</v>
          </cell>
          <cell r="Y49">
            <v>40.416382700416868</v>
          </cell>
          <cell r="Z49">
            <v>31.10871264749041</v>
          </cell>
          <cell r="AA49">
            <v>21.28912074165299</v>
          </cell>
          <cell r="AB49">
            <v>10.929451280994519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C50">
            <v>234</v>
          </cell>
          <cell r="D50" t="str">
            <v>Commitment fee</v>
          </cell>
          <cell r="E50" t="str">
            <v>Th EUR</v>
          </cell>
          <cell r="I50">
            <v>15.782596466625002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C51">
            <v>235</v>
          </cell>
          <cell r="D51" t="str">
            <v>Front-end fee</v>
          </cell>
          <cell r="E51" t="str">
            <v>Th EUR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3">
          <cell r="D53" t="str">
            <v>Cash-flow statement - Euros</v>
          </cell>
        </row>
        <row r="54">
          <cell r="C54">
            <v>236</v>
          </cell>
          <cell r="D54" t="str">
            <v>EBITDA</v>
          </cell>
          <cell r="E54" t="str">
            <v>Th EUR</v>
          </cell>
          <cell r="I54">
            <v>6184.0820975670349</v>
          </cell>
          <cell r="J54">
            <v>4937.7667488477509</v>
          </cell>
          <cell r="K54">
            <v>5414.4999288656099</v>
          </cell>
          <cell r="L54">
            <v>7702.8786399650935</v>
          </cell>
          <cell r="M54">
            <v>7956.0189983583705</v>
          </cell>
          <cell r="N54">
            <v>8155.537482820735</v>
          </cell>
          <cell r="O54">
            <v>6664.0714230697104</v>
          </cell>
          <cell r="P54">
            <v>6884.2843701504426</v>
          </cell>
          <cell r="Q54">
            <v>7891.5857400918276</v>
          </cell>
          <cell r="R54">
            <v>8159.6585813824304</v>
          </cell>
          <cell r="S54">
            <v>8010.9470952653191</v>
          </cell>
          <cell r="T54">
            <v>8271.5321977005096</v>
          </cell>
          <cell r="U54">
            <v>8563.1489851425249</v>
          </cell>
          <cell r="V54">
            <v>8865.7445724048048</v>
          </cell>
          <cell r="W54">
            <v>9178.2002937030138</v>
          </cell>
          <cell r="X54">
            <v>9500.8910247734711</v>
          </cell>
          <cell r="Y54">
            <v>9800.281910003343</v>
          </cell>
          <cell r="Z54">
            <v>10188.653879502393</v>
          </cell>
          <cell r="AA54">
            <v>10611.950100185522</v>
          </cell>
          <cell r="AB54">
            <v>11005.60543040321</v>
          </cell>
          <cell r="AC54">
            <v>11416.455952421027</v>
          </cell>
          <cell r="AD54">
            <v>11843.666148173636</v>
          </cell>
          <cell r="AE54">
            <v>23957.986895385144</v>
          </cell>
          <cell r="AF54">
            <v>24720.90238052751</v>
          </cell>
          <cell r="AG54">
            <v>25512.614716287972</v>
          </cell>
          <cell r="AH54">
            <v>26332.739679166265</v>
          </cell>
          <cell r="AI54">
            <v>27177.444500202782</v>
          </cell>
          <cell r="AJ54">
            <v>28052.414188791732</v>
          </cell>
          <cell r="AK54">
            <v>28960.740724726536</v>
          </cell>
          <cell r="AL54">
            <v>25419.522716526633</v>
          </cell>
        </row>
        <row r="55">
          <cell r="C55">
            <v>237</v>
          </cell>
          <cell r="D55" t="str">
            <v>Decrease / (Increase) in working capital</v>
          </cell>
          <cell r="E55" t="str">
            <v>Th EUR</v>
          </cell>
          <cell r="I55">
            <v>-146.60378549111397</v>
          </cell>
          <cell r="J55">
            <v>-161.0716233054487</v>
          </cell>
          <cell r="K55">
            <v>-286.86953268340574</v>
          </cell>
          <cell r="L55">
            <v>-267.72143357514017</v>
          </cell>
          <cell r="M55">
            <v>-364.35549445505126</v>
          </cell>
          <cell r="N55">
            <v>-377.60115765524978</v>
          </cell>
          <cell r="O55">
            <v>-389.95646382818518</v>
          </cell>
          <cell r="P55">
            <v>-399.99270391019519</v>
          </cell>
          <cell r="Q55">
            <v>-404.01427103206083</v>
          </cell>
          <cell r="R55">
            <v>-423.91407137310608</v>
          </cell>
          <cell r="S55">
            <v>-444.79915405577731</v>
          </cell>
          <cell r="T55">
            <v>-438.55002944734292</v>
          </cell>
          <cell r="U55">
            <v>-448.61859079781834</v>
          </cell>
          <cell r="V55">
            <v>-459.63627990731794</v>
          </cell>
          <cell r="W55">
            <v>-471.05397709901831</v>
          </cell>
          <cell r="X55">
            <v>-482.64374337176389</v>
          </cell>
          <cell r="Y55">
            <v>-495.86055106093664</v>
          </cell>
          <cell r="Z55">
            <v>-503.52109688983728</v>
          </cell>
          <cell r="AA55">
            <v>-516.99943867162574</v>
          </cell>
          <cell r="AB55">
            <v>-532.61199004482808</v>
          </cell>
          <cell r="AC55">
            <v>-546.74306345251443</v>
          </cell>
          <cell r="AD55">
            <v>-561.3671005975666</v>
          </cell>
          <cell r="AE55">
            <v>-714.10100948349566</v>
          </cell>
          <cell r="AF55">
            <v>-463.06535644031533</v>
          </cell>
          <cell r="AG55">
            <v>-477.71617093834249</v>
          </cell>
          <cell r="AH55">
            <v>-492.95102798558861</v>
          </cell>
          <cell r="AI55">
            <v>-508.83499324912935</v>
          </cell>
          <cell r="AJ55">
            <v>-525.09062534067073</v>
          </cell>
          <cell r="AK55">
            <v>-541.88632671639073</v>
          </cell>
          <cell r="AL55">
            <v>-653.9199615168302</v>
          </cell>
        </row>
        <row r="56">
          <cell r="C56">
            <v>238</v>
          </cell>
          <cell r="D56" t="str">
            <v>FUNDS FROM OPERATIONS</v>
          </cell>
          <cell r="E56" t="str">
            <v>Th EUR</v>
          </cell>
          <cell r="I56">
            <v>6037.4783120759212</v>
          </cell>
          <cell r="J56">
            <v>4776.6951255423019</v>
          </cell>
          <cell r="K56">
            <v>5127.6303961822041</v>
          </cell>
          <cell r="L56">
            <v>7435.157206389953</v>
          </cell>
          <cell r="M56">
            <v>7591.663503903319</v>
          </cell>
          <cell r="N56">
            <v>7777.936325165485</v>
          </cell>
          <cell r="O56">
            <v>6274.114959241525</v>
          </cell>
          <cell r="P56">
            <v>6484.2916662402477</v>
          </cell>
          <cell r="Q56">
            <v>7487.571469059767</v>
          </cell>
          <cell r="R56">
            <v>7735.7445100093246</v>
          </cell>
          <cell r="S56">
            <v>7566.1479412095414</v>
          </cell>
          <cell r="T56">
            <v>7832.9821682531665</v>
          </cell>
          <cell r="U56">
            <v>8114.530394344707</v>
          </cell>
          <cell r="V56">
            <v>8406.1082924974871</v>
          </cell>
          <cell r="W56">
            <v>8707.1463166039957</v>
          </cell>
          <cell r="X56">
            <v>9018.2472814017074</v>
          </cell>
          <cell r="Y56">
            <v>9304.4213589424071</v>
          </cell>
          <cell r="Z56">
            <v>9685.1327826125562</v>
          </cell>
          <cell r="AA56">
            <v>10094.950661513896</v>
          </cell>
          <cell r="AB56">
            <v>10472.993440358381</v>
          </cell>
          <cell r="AC56">
            <v>10869.712888968512</v>
          </cell>
          <cell r="AD56">
            <v>11282.299047576069</v>
          </cell>
          <cell r="AE56">
            <v>23243.885885901647</v>
          </cell>
          <cell r="AF56">
            <v>24257.837024087195</v>
          </cell>
          <cell r="AG56">
            <v>25034.898545349628</v>
          </cell>
          <cell r="AH56">
            <v>25839.788651180676</v>
          </cell>
          <cell r="AI56">
            <v>26668.609506953653</v>
          </cell>
          <cell r="AJ56">
            <v>27527.32356345106</v>
          </cell>
          <cell r="AK56">
            <v>28418.854398010146</v>
          </cell>
          <cell r="AL56">
            <v>24765.602755009804</v>
          </cell>
        </row>
        <row r="57">
          <cell r="C57">
            <v>239</v>
          </cell>
          <cell r="D57" t="str">
            <v>Capital expenditures</v>
          </cell>
          <cell r="E57" t="str">
            <v>Th EUR</v>
          </cell>
          <cell r="I57">
            <v>-22564.401603304166</v>
          </cell>
          <cell r="J57">
            <v>-6.1066508427916938E-12</v>
          </cell>
          <cell r="K57">
            <v>-6.035643274852256E-12</v>
          </cell>
          <cell r="L57">
            <v>-261.63260767773698</v>
          </cell>
          <cell r="M57">
            <v>-5.5337845158578444E-12</v>
          </cell>
          <cell r="N57">
            <v>-5048.9843813072366</v>
          </cell>
          <cell r="O57">
            <v>-1.6977096642379132E-12</v>
          </cell>
          <cell r="P57">
            <v>-109.2470714103064</v>
          </cell>
          <cell r="Q57">
            <v>-3566.1339442012768</v>
          </cell>
          <cell r="R57">
            <v>-3.3954193284758264E-12</v>
          </cell>
          <cell r="S57">
            <v>-3571.4071546754885</v>
          </cell>
          <cell r="T57">
            <v>-1.6977096642379134E-12</v>
          </cell>
          <cell r="U57">
            <v>-1.6977096642379134E-12</v>
          </cell>
          <cell r="V57">
            <v>-355.41984468447993</v>
          </cell>
          <cell r="W57">
            <v>-5.0931289927137404E-12</v>
          </cell>
          <cell r="X57">
            <v>-5829.349549122574</v>
          </cell>
          <cell r="Y57">
            <v>-4069.4939869788627</v>
          </cell>
          <cell r="Z57">
            <v>0</v>
          </cell>
          <cell r="AA57">
            <v>-113.19583488245026</v>
          </cell>
          <cell r="AB57">
            <v>-1.0186257985427481E-11</v>
          </cell>
          <cell r="AC57">
            <v>-5837.4141203860581</v>
          </cell>
          <cell r="AD57">
            <v>-296.30666967501048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C58">
            <v>240</v>
          </cell>
          <cell r="D58" t="str">
            <v>FREE CASH-FLOW</v>
          </cell>
          <cell r="E58" t="str">
            <v>Th EUR</v>
          </cell>
          <cell r="I58">
            <v>-16526.923291228246</v>
          </cell>
          <cell r="J58">
            <v>4776.6951255422955</v>
          </cell>
          <cell r="K58">
            <v>5127.6303961821977</v>
          </cell>
          <cell r="L58">
            <v>7173.5245987122162</v>
          </cell>
          <cell r="M58">
            <v>7591.6635039033135</v>
          </cell>
          <cell r="N58">
            <v>2728.9519438582483</v>
          </cell>
          <cell r="O58">
            <v>6274.1149592415231</v>
          </cell>
          <cell r="P58">
            <v>6375.0445948299412</v>
          </cell>
          <cell r="Q58">
            <v>3921.4375248584902</v>
          </cell>
          <cell r="R58">
            <v>7735.7445100093209</v>
          </cell>
          <cell r="S58">
            <v>3994.7407865340529</v>
          </cell>
          <cell r="T58">
            <v>7832.9821682531647</v>
          </cell>
          <cell r="U58">
            <v>8114.5303943447052</v>
          </cell>
          <cell r="V58">
            <v>8050.6884478130069</v>
          </cell>
          <cell r="W58">
            <v>8707.1463166039903</v>
          </cell>
          <cell r="X58">
            <v>3188.8977322791334</v>
          </cell>
          <cell r="Y58">
            <v>5234.9273719635439</v>
          </cell>
          <cell r="Z58">
            <v>9685.1327826125562</v>
          </cell>
          <cell r="AA58">
            <v>9981.7548266314461</v>
          </cell>
          <cell r="AB58">
            <v>10472.99344035837</v>
          </cell>
          <cell r="AC58">
            <v>5032.2987685824537</v>
          </cell>
          <cell r="AD58">
            <v>10985.992377901059</v>
          </cell>
          <cell r="AE58">
            <v>23243.885885901647</v>
          </cell>
          <cell r="AF58">
            <v>24257.837024087195</v>
          </cell>
          <cell r="AG58">
            <v>25034.898545349628</v>
          </cell>
          <cell r="AH58">
            <v>25839.788651180676</v>
          </cell>
          <cell r="AI58">
            <v>26668.609506953653</v>
          </cell>
          <cell r="AJ58">
            <v>27527.32356345106</v>
          </cell>
          <cell r="AK58">
            <v>28418.854398010146</v>
          </cell>
          <cell r="AL58">
            <v>24765.602755009804</v>
          </cell>
        </row>
        <row r="59">
          <cell r="C59">
            <v>241</v>
          </cell>
          <cell r="D59" t="str">
            <v>Grants</v>
          </cell>
          <cell r="E59" t="str">
            <v>Th EUR</v>
          </cell>
          <cell r="I59">
            <v>15870.979006838103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C60">
            <v>242</v>
          </cell>
          <cell r="D60" t="str">
            <v>Equity contributions</v>
          </cell>
          <cell r="E60" t="str">
            <v>Th EUR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C61">
            <v>243</v>
          </cell>
          <cell r="D61" t="str">
            <v>Disbursements IFI loan (project)</v>
          </cell>
          <cell r="E61" t="str">
            <v>Th EUR</v>
          </cell>
          <cell r="I61">
            <v>2104.3461955500002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C62">
            <v>244</v>
          </cell>
          <cell r="D62" t="str">
            <v>Disbursements other loans</v>
          </cell>
          <cell r="E62" t="str">
            <v>Th EUR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C63">
            <v>245</v>
          </cell>
          <cell r="D63" t="str">
            <v>Dividend payments</v>
          </cell>
          <cell r="E63" t="str">
            <v>Th EUR</v>
          </cell>
          <cell r="I63">
            <v>0</v>
          </cell>
          <cell r="J63">
            <v>-391.98566516231705</v>
          </cell>
          <cell r="K63">
            <v>-240.81337260764391</v>
          </cell>
          <cell r="L63">
            <v>-293.86125402011004</v>
          </cell>
          <cell r="M63">
            <v>-482.04931258987665</v>
          </cell>
          <cell r="N63">
            <v>-497.27936738484004</v>
          </cell>
          <cell r="O63">
            <v>-514.66771695079115</v>
          </cell>
          <cell r="P63">
            <v>-343.38632334679227</v>
          </cell>
          <cell r="Q63">
            <v>-361.2764289424909</v>
          </cell>
          <cell r="R63">
            <v>-444.51924122640838</v>
          </cell>
          <cell r="S63">
            <v>-436.75238936407686</v>
          </cell>
          <cell r="T63">
            <v>-423.61033601576042</v>
          </cell>
          <cell r="U63">
            <v>-459.94091775410647</v>
          </cell>
          <cell r="V63">
            <v>-484.07498575379105</v>
          </cell>
          <cell r="W63">
            <v>-509.91729673784306</v>
          </cell>
          <cell r="X63">
            <v>-532.94329479633905</v>
          </cell>
          <cell r="Y63">
            <v>-559.79920312526087</v>
          </cell>
          <cell r="Z63">
            <v>-535.74435245446261</v>
          </cell>
          <cell r="AA63">
            <v>-533.96930699902407</v>
          </cell>
          <cell r="AB63">
            <v>-569.33299101892783</v>
          </cell>
          <cell r="AC63">
            <v>-601.38874142194175</v>
          </cell>
          <cell r="AD63">
            <v>-682.87447072121267</v>
          </cell>
          <cell r="AE63">
            <v>-698.56121016223904</v>
          </cell>
          <cell r="AF63">
            <v>-1712.4444893424895</v>
          </cell>
          <cell r="AG63">
            <v>-1926.1294239946099</v>
          </cell>
          <cell r="AH63">
            <v>-2093.2058190019243</v>
          </cell>
          <cell r="AI63">
            <v>-2171.7007150657191</v>
          </cell>
          <cell r="AJ63">
            <v>-2241.3742220177473</v>
          </cell>
          <cell r="AK63">
            <v>-2313.5415991351424</v>
          </cell>
          <cell r="AL63">
            <v>-2388.4632182160299</v>
          </cell>
        </row>
        <row r="64">
          <cell r="C64">
            <v>246</v>
          </cell>
          <cell r="D64" t="str">
            <v>Income tax payments</v>
          </cell>
          <cell r="E64" t="str">
            <v>Th EUR</v>
          </cell>
          <cell r="I64">
            <v>0</v>
          </cell>
          <cell r="J64">
            <v>-746.63936221393737</v>
          </cell>
          <cell r="K64">
            <v>-458.69213830027422</v>
          </cell>
          <cell r="L64">
            <v>-559.73572194306689</v>
          </cell>
          <cell r="M64">
            <v>-918.18916683786017</v>
          </cell>
          <cell r="N64">
            <v>-947.198795018743</v>
          </cell>
          <cell r="O64">
            <v>-980.3194608586499</v>
          </cell>
          <cell r="P64">
            <v>-654.0691873272234</v>
          </cell>
          <cell r="Q64">
            <v>-688.14557893807785</v>
          </cell>
          <cell r="R64">
            <v>-846.70331662173021</v>
          </cell>
          <cell r="S64">
            <v>-831.90931307443213</v>
          </cell>
          <cell r="T64">
            <v>-806.87683050621013</v>
          </cell>
          <cell r="U64">
            <v>-876.07793857925049</v>
          </cell>
          <cell r="V64">
            <v>-922.04759191198286</v>
          </cell>
          <cell r="W64">
            <v>-971.2710414054153</v>
          </cell>
          <cell r="X64">
            <v>-1015.1300853263597</v>
          </cell>
          <cell r="Y64">
            <v>-1066.2841964290683</v>
          </cell>
          <cell r="Z64">
            <v>-1020.4654332465955</v>
          </cell>
          <cell r="AA64">
            <v>-1017.0843942838555</v>
          </cell>
          <cell r="AB64">
            <v>-1084.4437924170052</v>
          </cell>
          <cell r="AC64">
            <v>-1145.5023646132224</v>
          </cell>
          <cell r="AD64">
            <v>-1300.7132775642146</v>
          </cell>
          <cell r="AE64">
            <v>-1330.5927812614075</v>
          </cell>
          <cell r="AF64">
            <v>-3261.7990273190276</v>
          </cell>
          <cell r="AG64">
            <v>-3668.8179504659229</v>
          </cell>
          <cell r="AH64">
            <v>-3987.0587028608079</v>
          </cell>
          <cell r="AI64">
            <v>-4136.5727906013708</v>
          </cell>
          <cell r="AJ64">
            <v>-4269.2842324147578</v>
          </cell>
          <cell r="AK64">
            <v>-4406.7459031145563</v>
          </cell>
          <cell r="AL64">
            <v>-4549.4537489829136</v>
          </cell>
        </row>
        <row r="65">
          <cell r="C65">
            <v>247</v>
          </cell>
          <cell r="D65" t="str">
            <v>CASH-FLOW BEFORE DEBT SERVICE</v>
          </cell>
          <cell r="E65" t="str">
            <v>Th EUR</v>
          </cell>
          <cell r="I65">
            <v>1448.4019111598568</v>
          </cell>
          <cell r="J65">
            <v>3638.0700981660411</v>
          </cell>
          <cell r="K65">
            <v>4428.1248852742792</v>
          </cell>
          <cell r="L65">
            <v>6319.9276227490391</v>
          </cell>
          <cell r="M65">
            <v>6191.4250244755767</v>
          </cell>
          <cell r="N65">
            <v>1284.4737814546652</v>
          </cell>
          <cell r="O65">
            <v>4779.127781432082</v>
          </cell>
          <cell r="P65">
            <v>5377.5890841559258</v>
          </cell>
          <cell r="Q65">
            <v>2872.0155169779214</v>
          </cell>
          <cell r="R65">
            <v>6444.5219521611816</v>
          </cell>
          <cell r="S65">
            <v>2726.0790840955437</v>
          </cell>
          <cell r="T65">
            <v>6602.495001731194</v>
          </cell>
          <cell r="U65">
            <v>6778.5115380113484</v>
          </cell>
          <cell r="V65">
            <v>6644.565870147233</v>
          </cell>
          <cell r="W65">
            <v>7225.9579784607313</v>
          </cell>
          <cell r="X65">
            <v>1640.8243521564345</v>
          </cell>
          <cell r="Y65">
            <v>3608.843972409215</v>
          </cell>
          <cell r="Z65">
            <v>8128.9229969114976</v>
          </cell>
          <cell r="AA65">
            <v>8430.7011253485653</v>
          </cell>
          <cell r="AB65">
            <v>8819.2166569224373</v>
          </cell>
          <cell r="AC65">
            <v>3285.4076625472899</v>
          </cell>
          <cell r="AD65">
            <v>9002.4046296156321</v>
          </cell>
          <cell r="AE65">
            <v>21214.731894478002</v>
          </cell>
          <cell r="AF65">
            <v>19283.593507425681</v>
          </cell>
          <cell r="AG65">
            <v>19439.951170889093</v>
          </cell>
          <cell r="AH65">
            <v>19759.524129317942</v>
          </cell>
          <cell r="AI65">
            <v>20360.336001286563</v>
          </cell>
          <cell r="AJ65">
            <v>21016.665109018555</v>
          </cell>
          <cell r="AK65">
            <v>21698.566895760447</v>
          </cell>
          <cell r="AL65">
            <v>17827.68578781086</v>
          </cell>
        </row>
        <row r="66">
          <cell r="C66">
            <v>248</v>
          </cell>
          <cell r="D66" t="str">
            <v>Reimbursement of IFI loan (project)</v>
          </cell>
          <cell r="E66" t="str">
            <v>Th EUR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-93.907706543829732</v>
          </cell>
          <cell r="O66">
            <v>-99.072630403740376</v>
          </cell>
          <cell r="P66">
            <v>-104.52162507594609</v>
          </cell>
          <cell r="Q66">
            <v>-110.27031445512313</v>
          </cell>
          <cell r="R66">
            <v>-116.3351817501549</v>
          </cell>
          <cell r="S66">
            <v>-122.73361674641343</v>
          </cell>
          <cell r="T66">
            <v>-129.48396566746621</v>
          </cell>
          <cell r="U66">
            <v>-136.60558377917681</v>
          </cell>
          <cell r="V66">
            <v>-144.11889088703151</v>
          </cell>
          <cell r="W66">
            <v>-152.04542988581827</v>
          </cell>
          <cell r="X66">
            <v>-160.40792852953828</v>
          </cell>
          <cell r="Y66">
            <v>-169.23036459866287</v>
          </cell>
          <cell r="Z66">
            <v>-178.53803465158933</v>
          </cell>
          <cell r="AA66">
            <v>-188.35762655742676</v>
          </cell>
          <cell r="AB66">
            <v>-198.71729601808522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C67">
            <v>249</v>
          </cell>
          <cell r="D67" t="str">
            <v>Interest payments IFI loan (project)</v>
          </cell>
          <cell r="E67" t="str">
            <v>Th EUR</v>
          </cell>
          <cell r="I67">
            <v>0</v>
          </cell>
          <cell r="J67">
            <v>-115.73904075525002</v>
          </cell>
          <cell r="K67">
            <v>-115.73904075525002</v>
          </cell>
          <cell r="L67">
            <v>-115.73904075525002</v>
          </cell>
          <cell r="M67">
            <v>-115.73904075525002</v>
          </cell>
          <cell r="N67">
            <v>-115.73904075525002</v>
          </cell>
          <cell r="O67">
            <v>-110.57411689533937</v>
          </cell>
          <cell r="P67">
            <v>-105.12512222313366</v>
          </cell>
          <cell r="Q67">
            <v>-99.376432843956621</v>
          </cell>
          <cell r="R67">
            <v>-93.311565548924847</v>
          </cell>
          <cell r="S67">
            <v>-86.913130552666331</v>
          </cell>
          <cell r="T67">
            <v>-80.162781631613583</v>
          </cell>
          <cell r="U67">
            <v>-73.041163519902952</v>
          </cell>
          <cell r="V67">
            <v>-65.527856412048223</v>
          </cell>
          <cell r="W67">
            <v>-57.601317413261484</v>
          </cell>
          <cell r="X67">
            <v>-49.238818769541474</v>
          </cell>
          <cell r="Y67">
            <v>-40.416382700416868</v>
          </cell>
          <cell r="Z67">
            <v>-31.10871264749041</v>
          </cell>
          <cell r="AA67">
            <v>-21.28912074165299</v>
          </cell>
          <cell r="AB67">
            <v>-10.929451280994519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C68">
            <v>250</v>
          </cell>
          <cell r="D68" t="str">
            <v>Financial fees IFI loan (project)</v>
          </cell>
          <cell r="E68" t="str">
            <v>Th EUR</v>
          </cell>
          <cell r="I68">
            <v>-15.782596466625002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C69">
            <v>251</v>
          </cell>
          <cell r="D69" t="str">
            <v>Reimbursement of other loans</v>
          </cell>
          <cell r="E69" t="str">
            <v>Th EUR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C70">
            <v>252</v>
          </cell>
          <cell r="D70" t="str">
            <v>Interest payments other loans</v>
          </cell>
          <cell r="E70" t="str">
            <v>Th EUR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C71">
            <v>253</v>
          </cell>
          <cell r="D71" t="str">
            <v>Reimbursement revolving credit</v>
          </cell>
          <cell r="E71" t="str">
            <v>Th EUR</v>
          </cell>
          <cell r="I71">
            <v>0</v>
          </cell>
          <cell r="J71">
            <v>-220.88918358924724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C72">
            <v>254</v>
          </cell>
          <cell r="D72" t="str">
            <v>SURPLUS / (DEFICIT) FOR THE YEAR</v>
          </cell>
          <cell r="E72" t="str">
            <v>Th EUR</v>
          </cell>
          <cell r="I72">
            <v>1432.6193146932319</v>
          </cell>
          <cell r="J72">
            <v>3301.4418738215436</v>
          </cell>
          <cell r="K72">
            <v>4312.385844519029</v>
          </cell>
          <cell r="L72">
            <v>6204.1885819937888</v>
          </cell>
          <cell r="M72">
            <v>6075.6859837203265</v>
          </cell>
          <cell r="N72">
            <v>1074.8270341555854</v>
          </cell>
          <cell r="O72">
            <v>4569.4810341330021</v>
          </cell>
          <cell r="P72">
            <v>5167.9423368568459</v>
          </cell>
          <cell r="Q72">
            <v>2662.3687696788415</v>
          </cell>
          <cell r="R72">
            <v>6234.8752048621018</v>
          </cell>
          <cell r="S72">
            <v>2516.4323367964639</v>
          </cell>
          <cell r="T72">
            <v>6392.848254432115</v>
          </cell>
          <cell r="U72">
            <v>6568.8647907122695</v>
          </cell>
          <cell r="V72">
            <v>6434.9191228481532</v>
          </cell>
          <cell r="W72">
            <v>7016.3112311616514</v>
          </cell>
          <cell r="X72">
            <v>1431.1776048573547</v>
          </cell>
          <cell r="Y72">
            <v>3399.1972251101352</v>
          </cell>
          <cell r="Z72">
            <v>7919.2762496124178</v>
          </cell>
          <cell r="AA72">
            <v>8221.0543780494863</v>
          </cell>
          <cell r="AB72">
            <v>8609.5699096233584</v>
          </cell>
          <cell r="AC72">
            <v>3285.4076625472899</v>
          </cell>
          <cell r="AD72">
            <v>9002.4046296156321</v>
          </cell>
          <cell r="AE72">
            <v>21214.731894478002</v>
          </cell>
          <cell r="AF72">
            <v>19283.593507425681</v>
          </cell>
          <cell r="AG72">
            <v>19439.951170889093</v>
          </cell>
          <cell r="AH72">
            <v>19759.524129317942</v>
          </cell>
          <cell r="AI72">
            <v>20360.336001286563</v>
          </cell>
          <cell r="AJ72">
            <v>21016.665109018555</v>
          </cell>
          <cell r="AK72">
            <v>21698.566895760447</v>
          </cell>
          <cell r="AL72">
            <v>17827.68578781086</v>
          </cell>
        </row>
        <row r="73">
          <cell r="C73">
            <v>255</v>
          </cell>
          <cell r="D73" t="str">
            <v>Drawdowns revolving credit</v>
          </cell>
          <cell r="E73" t="str">
            <v>Th EUR</v>
          </cell>
          <cell r="I73">
            <v>224.35411195927463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C74">
            <v>256</v>
          </cell>
          <cell r="D74" t="str">
            <v>Interest on revolving credit</v>
          </cell>
          <cell r="E74" t="str">
            <v>Th EUR</v>
          </cell>
          <cell r="I74">
            <v>-33.204408569972649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C75">
            <v>257</v>
          </cell>
          <cell r="D75" t="str">
            <v>NET CASH-FLOW</v>
          </cell>
          <cell r="E75" t="str">
            <v>Th EUR</v>
          </cell>
          <cell r="I75">
            <v>1623.7690180825339</v>
          </cell>
          <cell r="J75">
            <v>3301.4418738215436</v>
          </cell>
          <cell r="K75">
            <v>4312.385844519029</v>
          </cell>
          <cell r="L75">
            <v>6204.1885819937888</v>
          </cell>
          <cell r="M75">
            <v>6075.6859837203265</v>
          </cell>
          <cell r="N75">
            <v>1074.8270341555854</v>
          </cell>
          <cell r="O75">
            <v>4569.4810341330021</v>
          </cell>
          <cell r="P75">
            <v>5167.9423368568459</v>
          </cell>
          <cell r="Q75">
            <v>2662.3687696788415</v>
          </cell>
          <cell r="R75">
            <v>6234.8752048621018</v>
          </cell>
          <cell r="S75">
            <v>2516.4323367964639</v>
          </cell>
          <cell r="T75">
            <v>6392.848254432115</v>
          </cell>
          <cell r="U75">
            <v>6568.8647907122695</v>
          </cell>
          <cell r="V75">
            <v>6434.9191228481532</v>
          </cell>
          <cell r="W75">
            <v>7016.3112311616514</v>
          </cell>
          <cell r="X75">
            <v>1431.1776048573547</v>
          </cell>
          <cell r="Y75">
            <v>3399.1972251101352</v>
          </cell>
          <cell r="Z75">
            <v>7919.2762496124178</v>
          </cell>
          <cell r="AA75">
            <v>8221.0543780494863</v>
          </cell>
          <cell r="AB75">
            <v>8609.5699096233584</v>
          </cell>
          <cell r="AC75">
            <v>3285.4076625472899</v>
          </cell>
          <cell r="AD75">
            <v>9002.4046296156321</v>
          </cell>
          <cell r="AE75">
            <v>21214.731894478002</v>
          </cell>
          <cell r="AF75">
            <v>19283.593507425681</v>
          </cell>
          <cell r="AG75">
            <v>19439.951170889093</v>
          </cell>
          <cell r="AH75">
            <v>19759.524129317942</v>
          </cell>
          <cell r="AI75">
            <v>20360.336001286563</v>
          </cell>
          <cell r="AJ75">
            <v>21016.665109018555</v>
          </cell>
          <cell r="AK75">
            <v>21698.566895760447</v>
          </cell>
          <cell r="AL75">
            <v>17827.68578781086</v>
          </cell>
        </row>
        <row r="76">
          <cell r="C76">
            <v>258</v>
          </cell>
          <cell r="D76" t="str">
            <v>Cash in hand at the end of the year</v>
          </cell>
          <cell r="E76" t="str">
            <v>Th EUR</v>
          </cell>
          <cell r="I76">
            <v>1989.1077585405469</v>
          </cell>
          <cell r="J76">
            <v>5259.8298214193801</v>
          </cell>
          <cell r="K76">
            <v>9511.0548540614418</v>
          </cell>
          <cell r="L76">
            <v>15641.227444973039</v>
          </cell>
          <cell r="M76">
            <v>21640.614758230087</v>
          </cell>
          <cell r="N76">
            <v>22651.979579018429</v>
          </cell>
          <cell r="O76">
            <v>27221.46061315143</v>
          </cell>
          <cell r="P76">
            <v>32389.402950008272</v>
          </cell>
          <cell r="Q76">
            <v>35051.771719687109</v>
          </cell>
          <cell r="R76">
            <v>41286.646924549219</v>
          </cell>
          <cell r="S76">
            <v>43803.079261345694</v>
          </cell>
          <cell r="T76">
            <v>50195.92751577781</v>
          </cell>
          <cell r="U76">
            <v>56764.792306490068</v>
          </cell>
          <cell r="V76">
            <v>63199.711429338233</v>
          </cell>
          <cell r="W76">
            <v>70216.022660499875</v>
          </cell>
          <cell r="X76">
            <v>71647.200265357227</v>
          </cell>
          <cell r="Y76">
            <v>75046.397490467381</v>
          </cell>
          <cell r="Z76">
            <v>82965.673740079787</v>
          </cell>
          <cell r="AA76">
            <v>91186.728118129278</v>
          </cell>
          <cell r="AB76">
            <v>99796.298027752637</v>
          </cell>
          <cell r="AC76">
            <v>103081.70569029993</v>
          </cell>
          <cell r="AD76">
            <v>112084.11031991555</v>
          </cell>
          <cell r="AE76">
            <v>133298.84221439355</v>
          </cell>
          <cell r="AF76">
            <v>152582.43572181926</v>
          </cell>
          <cell r="AG76">
            <v>172022.38689270831</v>
          </cell>
          <cell r="AH76">
            <v>191781.91102202624</v>
          </cell>
          <cell r="AI76">
            <v>212142.24702331281</v>
          </cell>
          <cell r="AJ76">
            <v>233158.91213233134</v>
          </cell>
          <cell r="AK76">
            <v>254857.4790280918</v>
          </cell>
          <cell r="AL76">
            <v>272685.16481590265</v>
          </cell>
        </row>
        <row r="79">
          <cell r="C79" t="str">
            <v>BALANCE SHEET</v>
          </cell>
        </row>
        <row r="83">
          <cell r="D83" t="str">
            <v>Balance sheet - Euros</v>
          </cell>
        </row>
        <row r="84">
          <cell r="C84">
            <v>259</v>
          </cell>
          <cell r="D84" t="str">
            <v>Gross fixet assets (existing assets)</v>
          </cell>
          <cell r="E84" t="str">
            <v>Th EUR</v>
          </cell>
          <cell r="F84">
            <v>26713.211278578492</v>
          </cell>
          <cell r="G84">
            <v>25378.119314633284</v>
          </cell>
          <cell r="H84">
            <v>24670</v>
          </cell>
          <cell r="I84">
            <v>24034.417938931296</v>
          </cell>
          <cell r="J84">
            <v>23663.23001709452</v>
          </cell>
          <cell r="K84">
            <v>23388.076179686443</v>
          </cell>
          <cell r="L84">
            <v>23206.06780474725</v>
          </cell>
          <cell r="M84">
            <v>23092.867473992388</v>
          </cell>
          <cell r="N84">
            <v>23025.146455007078</v>
          </cell>
          <cell r="O84">
            <v>23025.146455007078</v>
          </cell>
          <cell r="P84">
            <v>23025.146455007078</v>
          </cell>
          <cell r="Q84">
            <v>23025.146455007078</v>
          </cell>
          <cell r="R84">
            <v>23025.146455007078</v>
          </cell>
          <cell r="S84">
            <v>23025.146455007081</v>
          </cell>
          <cell r="T84">
            <v>23025.146455007081</v>
          </cell>
          <cell r="U84">
            <v>23025.146455007081</v>
          </cell>
          <cell r="V84">
            <v>23025.146455007081</v>
          </cell>
          <cell r="W84">
            <v>23025.146455007081</v>
          </cell>
          <cell r="X84">
            <v>23025.146455007078</v>
          </cell>
          <cell r="Y84">
            <v>23025.146455007081</v>
          </cell>
          <cell r="Z84">
            <v>23025.146455007081</v>
          </cell>
          <cell r="AA84">
            <v>23025.146455007081</v>
          </cell>
          <cell r="AB84">
            <v>23025.146455007081</v>
          </cell>
          <cell r="AC84">
            <v>23025.146455007081</v>
          </cell>
          <cell r="AD84">
            <v>23025.146455007081</v>
          </cell>
          <cell r="AE84">
            <v>23025.146455007081</v>
          </cell>
          <cell r="AF84">
            <v>23025.146455007081</v>
          </cell>
          <cell r="AG84">
            <v>23025.146455007078</v>
          </cell>
          <cell r="AH84">
            <v>23025.146455007078</v>
          </cell>
          <cell r="AI84">
            <v>23025.146455007078</v>
          </cell>
          <cell r="AJ84">
            <v>23025.146455007078</v>
          </cell>
          <cell r="AK84">
            <v>23025.146455007078</v>
          </cell>
          <cell r="AL84">
            <v>23025.146455007078</v>
          </cell>
        </row>
        <row r="85">
          <cell r="C85">
            <v>260</v>
          </cell>
          <cell r="D85" t="str">
            <v>less depreciation (existing assets)</v>
          </cell>
          <cell r="E85" t="str">
            <v>Th EUR</v>
          </cell>
          <cell r="F85">
            <v>-3296.0776675755851</v>
          </cell>
          <cell r="G85">
            <v>-3747.2506584842645</v>
          </cell>
          <cell r="H85">
            <v>-4550</v>
          </cell>
          <cell r="I85">
            <v>-5394.1534351145037</v>
          </cell>
          <cell r="J85">
            <v>-6257.3752468389866</v>
          </cell>
          <cell r="K85">
            <v>-7120.1381167376203</v>
          </cell>
          <cell r="L85">
            <v>-7992.9711937778002</v>
          </cell>
          <cell r="M85">
            <v>-8877.6957893532144</v>
          </cell>
          <cell r="N85">
            <v>-9772.6673490509966</v>
          </cell>
          <cell r="O85">
            <v>-10693.673207251279</v>
          </cell>
          <cell r="P85">
            <v>-11614.679065451563</v>
          </cell>
          <cell r="Q85">
            <v>-12535.684923651843</v>
          </cell>
          <cell r="R85">
            <v>-13456.690781852127</v>
          </cell>
          <cell r="S85">
            <v>-14377.696640052412</v>
          </cell>
          <cell r="T85">
            <v>-15298.702498252693</v>
          </cell>
          <cell r="U85">
            <v>-16219.708356452975</v>
          </cell>
          <cell r="V85">
            <v>-17140.714214653257</v>
          </cell>
          <cell r="W85">
            <v>-18061.720072853543</v>
          </cell>
          <cell r="X85">
            <v>-18982.725931053821</v>
          </cell>
          <cell r="Y85">
            <v>-19903.731789254107</v>
          </cell>
          <cell r="Z85">
            <v>-20824.737647454389</v>
          </cell>
          <cell r="AA85">
            <v>-21745.743505654671</v>
          </cell>
          <cell r="AB85">
            <v>-22666.749363854957</v>
          </cell>
          <cell r="AC85">
            <v>-23025.146455007081</v>
          </cell>
          <cell r="AD85">
            <v>-23025.146455007081</v>
          </cell>
          <cell r="AE85">
            <v>-23025.146455007081</v>
          </cell>
          <cell r="AF85">
            <v>-23025.146455007081</v>
          </cell>
          <cell r="AG85">
            <v>-23025.146455007078</v>
          </cell>
          <cell r="AH85">
            <v>-23025.146455007078</v>
          </cell>
          <cell r="AI85">
            <v>-23025.146455007078</v>
          </cell>
          <cell r="AJ85">
            <v>-23025.146455007078</v>
          </cell>
          <cell r="AK85">
            <v>-23025.146455007078</v>
          </cell>
          <cell r="AL85">
            <v>-23025.146455007078</v>
          </cell>
        </row>
        <row r="86">
          <cell r="C86">
            <v>261</v>
          </cell>
          <cell r="D86" t="str">
            <v>Gross fixet assets (project assets)</v>
          </cell>
          <cell r="E86" t="str">
            <v>Th EUR</v>
          </cell>
          <cell r="F86">
            <v>0</v>
          </cell>
          <cell r="G86">
            <v>0</v>
          </cell>
          <cell r="H86">
            <v>0</v>
          </cell>
          <cell r="I86">
            <v>21485.374656565498</v>
          </cell>
          <cell r="J86">
            <v>21153.554198549038</v>
          </cell>
          <cell r="K86">
            <v>20907.582638100801</v>
          </cell>
          <cell r="L86">
            <v>20744.877714847094</v>
          </cell>
          <cell r="M86">
            <v>20643.683189408821</v>
          </cell>
          <cell r="N86">
            <v>20583.144529029323</v>
          </cell>
          <cell r="O86">
            <v>20583.144529029323</v>
          </cell>
          <cell r="P86">
            <v>20583.144529029323</v>
          </cell>
          <cell r="Q86">
            <v>20583.144529029323</v>
          </cell>
          <cell r="R86">
            <v>20583.144529029323</v>
          </cell>
          <cell r="S86">
            <v>20583.144529029327</v>
          </cell>
          <cell r="T86">
            <v>20583.144529029327</v>
          </cell>
          <cell r="U86">
            <v>20583.144529029327</v>
          </cell>
          <cell r="V86">
            <v>20583.144529029327</v>
          </cell>
          <cell r="W86">
            <v>20583.144529029327</v>
          </cell>
          <cell r="X86">
            <v>20583.144529029323</v>
          </cell>
          <cell r="Y86">
            <v>20583.144529029327</v>
          </cell>
          <cell r="Z86">
            <v>20583.144529029327</v>
          </cell>
          <cell r="AA86">
            <v>20583.144529029327</v>
          </cell>
          <cell r="AB86">
            <v>20583.144529029327</v>
          </cell>
          <cell r="AC86">
            <v>20583.144529029327</v>
          </cell>
          <cell r="AD86">
            <v>20583.144529029327</v>
          </cell>
          <cell r="AE86">
            <v>20583.144529029327</v>
          </cell>
          <cell r="AF86">
            <v>20583.144529029327</v>
          </cell>
          <cell r="AG86">
            <v>20583.144529029323</v>
          </cell>
          <cell r="AH86">
            <v>20583.144529029323</v>
          </cell>
          <cell r="AI86">
            <v>20583.144529029323</v>
          </cell>
          <cell r="AJ86">
            <v>20583.144529029323</v>
          </cell>
          <cell r="AK86">
            <v>20583.144529029323</v>
          </cell>
          <cell r="AL86">
            <v>20583.144529029323</v>
          </cell>
        </row>
        <row r="87">
          <cell r="C87">
            <v>262</v>
          </cell>
          <cell r="D87" t="str">
            <v>less depreciation (project assets)</v>
          </cell>
          <cell r="E87" t="str">
            <v>Th EUR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-2115.3554198549045</v>
          </cell>
          <cell r="K87">
            <v>-4181.5165276201606</v>
          </cell>
          <cell r="L87">
            <v>-6223.4633144541285</v>
          </cell>
          <cell r="M87">
            <v>-8257.4732757635302</v>
          </cell>
          <cell r="N87">
            <v>-10291.572264514663</v>
          </cell>
          <cell r="O87">
            <v>-12349.886717417598</v>
          </cell>
          <cell r="P87">
            <v>-14408.201170320532</v>
          </cell>
          <cell r="Q87">
            <v>-16466.515623223466</v>
          </cell>
          <cell r="R87">
            <v>-18524.830076126396</v>
          </cell>
          <cell r="S87">
            <v>-20583.144529029327</v>
          </cell>
          <cell r="T87">
            <v>-20583.144529029327</v>
          </cell>
          <cell r="U87">
            <v>-20583.144529029327</v>
          </cell>
          <cell r="V87">
            <v>-20583.144529029327</v>
          </cell>
          <cell r="W87">
            <v>-20583.144529029327</v>
          </cell>
          <cell r="X87">
            <v>-20583.144529029323</v>
          </cell>
          <cell r="Y87">
            <v>-20583.144529029327</v>
          </cell>
          <cell r="Z87">
            <v>-20583.144529029327</v>
          </cell>
          <cell r="AA87">
            <v>-20583.144529029327</v>
          </cell>
          <cell r="AB87">
            <v>-20583.144529029327</v>
          </cell>
          <cell r="AC87">
            <v>-20583.144529029327</v>
          </cell>
          <cell r="AD87">
            <v>-20583.144529029327</v>
          </cell>
          <cell r="AE87">
            <v>-20583.144529029327</v>
          </cell>
          <cell r="AF87">
            <v>-20583.144529029327</v>
          </cell>
          <cell r="AG87">
            <v>-20583.144529029323</v>
          </cell>
          <cell r="AH87">
            <v>-20583.144529029323</v>
          </cell>
          <cell r="AI87">
            <v>-20583.144529029323</v>
          </cell>
          <cell r="AJ87">
            <v>-20583.144529029323</v>
          </cell>
          <cell r="AK87">
            <v>-20583.144529029323</v>
          </cell>
          <cell r="AL87">
            <v>-20583.144529029323</v>
          </cell>
        </row>
        <row r="88">
          <cell r="C88">
            <v>263</v>
          </cell>
          <cell r="D88" t="str">
            <v>Gross fixet assets (other CAPEX)</v>
          </cell>
          <cell r="E88" t="str">
            <v>Th EUR</v>
          </cell>
          <cell r="F88">
            <v>0</v>
          </cell>
          <cell r="G88">
            <v>0</v>
          </cell>
          <cell r="H88">
            <v>0</v>
          </cell>
          <cell r="I88">
            <v>1079.0269467386618</v>
          </cell>
          <cell r="J88">
            <v>1062.3624379087209</v>
          </cell>
          <cell r="K88">
            <v>1050.0093863051313</v>
          </cell>
          <cell r="L88">
            <v>1303.4707147120055</v>
          </cell>
          <cell r="M88">
            <v>1297.1123209817033</v>
          </cell>
          <cell r="N88">
            <v>6342.2928538403121</v>
          </cell>
          <cell r="O88">
            <v>6342.2928538403121</v>
          </cell>
          <cell r="P88">
            <v>6451.5399252506149</v>
          </cell>
          <cell r="Q88">
            <v>10017.673869451888</v>
          </cell>
          <cell r="R88">
            <v>10017.673869451888</v>
          </cell>
          <cell r="S88">
            <v>13589.081024127378</v>
          </cell>
          <cell r="T88">
            <v>13589.081024127378</v>
          </cell>
          <cell r="U88">
            <v>13589.081024127378</v>
          </cell>
          <cell r="V88">
            <v>13944.500868811852</v>
          </cell>
          <cell r="W88">
            <v>13944.500868811852</v>
          </cell>
          <cell r="X88">
            <v>19773.85041793442</v>
          </cell>
          <cell r="Y88">
            <v>23843.344404913285</v>
          </cell>
          <cell r="Z88">
            <v>23843.344404913285</v>
          </cell>
          <cell r="AA88">
            <v>23956.540239795726</v>
          </cell>
          <cell r="AB88">
            <v>23956.540239795726</v>
          </cell>
          <cell r="AC88">
            <v>29793.954360181782</v>
          </cell>
          <cell r="AD88">
            <v>30090.261029856789</v>
          </cell>
          <cell r="AE88">
            <v>30090.261029856789</v>
          </cell>
          <cell r="AF88">
            <v>30090.261029856789</v>
          </cell>
          <cell r="AG88">
            <v>30090.261029856782</v>
          </cell>
          <cell r="AH88">
            <v>30090.261029856782</v>
          </cell>
          <cell r="AI88">
            <v>30090.261029856782</v>
          </cell>
          <cell r="AJ88">
            <v>30090.261029856782</v>
          </cell>
          <cell r="AK88">
            <v>30090.261029856782</v>
          </cell>
          <cell r="AL88">
            <v>30090.261029856782</v>
          </cell>
        </row>
        <row r="89">
          <cell r="C89">
            <v>264</v>
          </cell>
          <cell r="D89" t="str">
            <v>less depreciation (other CAPEX)</v>
          </cell>
          <cell r="E89" t="str">
            <v>Th EUR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-106.23624379087209</v>
          </cell>
          <cell r="K89">
            <v>-210.00187726102624</v>
          </cell>
          <cell r="L89">
            <v>-312.55143211028224</v>
          </cell>
          <cell r="M89">
            <v>-440.73802307620736</v>
          </cell>
          <cell r="N89">
            <v>-568.77638345832395</v>
          </cell>
          <cell r="O89">
            <v>-1203.0056688423551</v>
          </cell>
          <cell r="P89">
            <v>-1837.234954226386</v>
          </cell>
          <cell r="Q89">
            <v>-2482.3889467514477</v>
          </cell>
          <cell r="R89">
            <v>-3484.1563336966365</v>
          </cell>
          <cell r="S89">
            <v>-4485.9237206418275</v>
          </cell>
          <cell r="T89">
            <v>-5844.8318230545638</v>
          </cell>
          <cell r="U89">
            <v>-7203.7399254673028</v>
          </cell>
          <cell r="V89">
            <v>-8562.6480278800409</v>
          </cell>
          <cell r="W89">
            <v>-9957.0981147612256</v>
          </cell>
          <cell r="X89">
            <v>-11351.548201642408</v>
          </cell>
          <cell r="Y89">
            <v>-13328.933243435855</v>
          </cell>
          <cell r="Z89">
            <v>-15713.267683927181</v>
          </cell>
          <cell r="AA89">
            <v>-18097.602124418507</v>
          </cell>
          <cell r="AB89">
            <v>-20493.256148398083</v>
          </cell>
          <cell r="AC89">
            <v>-22888.910172377658</v>
          </cell>
          <cell r="AD89">
            <v>-25868.305608395836</v>
          </cell>
          <cell r="AE89">
            <v>-28877.331711381517</v>
          </cell>
          <cell r="AF89">
            <v>-30090.261029856789</v>
          </cell>
          <cell r="AG89">
            <v>-30090.261029856782</v>
          </cell>
          <cell r="AH89">
            <v>-30090.261029856782</v>
          </cell>
          <cell r="AI89">
            <v>-30090.261029856782</v>
          </cell>
          <cell r="AJ89">
            <v>-30090.261029856782</v>
          </cell>
          <cell r="AK89">
            <v>-30090.261029856782</v>
          </cell>
          <cell r="AL89">
            <v>-30090.261029856782</v>
          </cell>
        </row>
        <row r="90">
          <cell r="C90">
            <v>265</v>
          </cell>
          <cell r="D90" t="str">
            <v>NET FIXED ASSETS</v>
          </cell>
          <cell r="E90" t="str">
            <v>Th EUR</v>
          </cell>
          <cell r="F90">
            <v>23417.133611002908</v>
          </cell>
          <cell r="G90">
            <v>21630.868656149021</v>
          </cell>
          <cell r="H90">
            <v>20120</v>
          </cell>
          <cell r="I90">
            <v>41204.666107120946</v>
          </cell>
          <cell r="J90">
            <v>37400.179743067514</v>
          </cell>
          <cell r="K90">
            <v>33834.011682473567</v>
          </cell>
          <cell r="L90">
            <v>30725.430293964135</v>
          </cell>
          <cell r="M90">
            <v>27457.755896189963</v>
          </cell>
          <cell r="N90">
            <v>29317.567840852724</v>
          </cell>
          <cell r="O90">
            <v>25704.018244365481</v>
          </cell>
          <cell r="P90">
            <v>22199.715719288532</v>
          </cell>
          <cell r="Q90">
            <v>22141.375359861533</v>
          </cell>
          <cell r="R90">
            <v>18160.287661813127</v>
          </cell>
          <cell r="S90">
            <v>17750.607118440224</v>
          </cell>
          <cell r="T90">
            <v>15470.693157827205</v>
          </cell>
          <cell r="U90">
            <v>13190.779197214182</v>
          </cell>
          <cell r="V90">
            <v>11266.285081285638</v>
          </cell>
          <cell r="W90">
            <v>8950.8291362041637</v>
          </cell>
          <cell r="X90">
            <v>12464.722740245268</v>
          </cell>
          <cell r="Y90">
            <v>13635.825827230405</v>
          </cell>
          <cell r="Z90">
            <v>10330.485528538797</v>
          </cell>
          <cell r="AA90">
            <v>7138.3410647296296</v>
          </cell>
          <cell r="AB90">
            <v>3821.681182549768</v>
          </cell>
          <cell r="AC90">
            <v>6905.0441878041238</v>
          </cell>
          <cell r="AD90">
            <v>4221.9554214609525</v>
          </cell>
          <cell r="AE90">
            <v>1212.9293184752714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C91">
            <v>266</v>
          </cell>
          <cell r="D91" t="str">
            <v>Stocks</v>
          </cell>
          <cell r="E91" t="str">
            <v>Th EUR</v>
          </cell>
          <cell r="F91">
            <v>149.82171216252658</v>
          </cell>
          <cell r="G91">
            <v>162.92394167322885</v>
          </cell>
          <cell r="H91">
            <v>187.5</v>
          </cell>
          <cell r="I91">
            <v>497.27693963513673</v>
          </cell>
          <cell r="J91">
            <v>639.98447453378651</v>
          </cell>
          <cell r="K91">
            <v>673.38947126092762</v>
          </cell>
          <cell r="L91">
            <v>780.05386888720079</v>
          </cell>
          <cell r="M91">
            <v>802.38941612008136</v>
          </cell>
          <cell r="N91">
            <v>822.92573439685532</v>
          </cell>
          <cell r="O91">
            <v>843.44663097793159</v>
          </cell>
          <cell r="P91">
            <v>863.8712864955944</v>
          </cell>
          <cell r="Q91">
            <v>895.825354799092</v>
          </cell>
          <cell r="R91">
            <v>919.30769498568964</v>
          </cell>
          <cell r="S91">
            <v>924.36728752580564</v>
          </cell>
          <cell r="T91">
            <v>946.39725599700387</v>
          </cell>
          <cell r="U91">
            <v>969.6986984399789</v>
          </cell>
          <cell r="V91">
            <v>993.62808805063514</v>
          </cell>
          <cell r="W91">
            <v>1018.0015148408089</v>
          </cell>
          <cell r="X91">
            <v>1042.9047496150224</v>
          </cell>
          <cell r="Y91">
            <v>1065.6705166638008</v>
          </cell>
          <cell r="Z91">
            <v>1095.0962722869401</v>
          </cell>
          <cell r="AA91">
            <v>1126.1626628869703</v>
          </cell>
          <cell r="AB91">
            <v>1156.2675444976767</v>
          </cell>
          <cell r="AC91">
            <v>1187.3853526853752</v>
          </cell>
          <cell r="AD91">
            <v>1219.5160754957312</v>
          </cell>
          <cell r="AE91">
            <v>984.57480391993738</v>
          </cell>
          <cell r="AF91">
            <v>1015.9274950901716</v>
          </cell>
          <cell r="AG91">
            <v>1048.4636184775877</v>
          </cell>
          <cell r="AH91">
            <v>1082.167384075326</v>
          </cell>
          <cell r="AI91">
            <v>1116.8812808302516</v>
          </cell>
          <cell r="AJ91">
            <v>1152.838939265414</v>
          </cell>
          <cell r="AK91">
            <v>1190.167427043556</v>
          </cell>
          <cell r="AL91">
            <v>1044.6379198572592</v>
          </cell>
        </row>
        <row r="92">
          <cell r="C92">
            <v>267</v>
          </cell>
          <cell r="D92" t="str">
            <v>Accounts receivable and other current assets</v>
          </cell>
          <cell r="E92" t="str">
            <v>Th EUR</v>
          </cell>
          <cell r="F92">
            <v>4494.6513648757982</v>
          </cell>
          <cell r="G92">
            <v>3665.7886876476496</v>
          </cell>
          <cell r="H92">
            <v>3125</v>
          </cell>
          <cell r="I92">
            <v>2848.091125889609</v>
          </cell>
          <cell r="J92">
            <v>2827.8071188487156</v>
          </cell>
          <cell r="K92">
            <v>2956.7353510243524</v>
          </cell>
          <cell r="L92">
            <v>3079.6846919702111</v>
          </cell>
          <cell r="M92">
            <v>3151.2061118174561</v>
          </cell>
          <cell r="N92">
            <v>3219.8247627799024</v>
          </cell>
          <cell r="O92">
            <v>3253.6355849578313</v>
          </cell>
          <cell r="P92">
            <v>3284.7019119692586</v>
          </cell>
          <cell r="Q92">
            <v>3320.1797272316799</v>
          </cell>
          <cell r="R92">
            <v>3357.0987783821238</v>
          </cell>
          <cell r="S92">
            <v>3386.5401655501605</v>
          </cell>
          <cell r="T92">
            <v>3411.1518241331441</v>
          </cell>
          <cell r="U92">
            <v>3435.6754458142341</v>
          </cell>
          <cell r="V92">
            <v>3469.3823687363165</v>
          </cell>
          <cell r="W92">
            <v>3504.2297747069665</v>
          </cell>
          <cell r="X92">
            <v>3539.8567196121526</v>
          </cell>
          <cell r="Y92">
            <v>3574.9173682038918</v>
          </cell>
          <cell r="Z92">
            <v>3612.4368168276746</v>
          </cell>
          <cell r="AA92">
            <v>3652.9556679533525</v>
          </cell>
          <cell r="AB92">
            <v>3697.0462214991703</v>
          </cell>
          <cell r="AC92">
            <v>3741.9602406264048</v>
          </cell>
          <cell r="AD92">
            <v>3787.3922347626681</v>
          </cell>
          <cell r="AE92">
            <v>3703.8351010148335</v>
          </cell>
          <cell r="AF92">
            <v>3620.3922769851665</v>
          </cell>
          <cell r="AG92">
            <v>3537.1467479030016</v>
          </cell>
          <cell r="AH92">
            <v>3584.6418035786251</v>
          </cell>
          <cell r="AI92">
            <v>3633.7726459721293</v>
          </cell>
          <cell r="AJ92">
            <v>3684.5686354222021</v>
          </cell>
          <cell r="AK92">
            <v>3737.1286563334106</v>
          </cell>
          <cell r="AL92">
            <v>3701.9702206598868</v>
          </cell>
        </row>
        <row r="93">
          <cell r="C93">
            <v>268</v>
          </cell>
          <cell r="D93" t="str">
            <v>Cash in hand</v>
          </cell>
          <cell r="E93" t="str">
            <v>Th EUR</v>
          </cell>
          <cell r="F93">
            <v>299.64342432505316</v>
          </cell>
          <cell r="G93">
            <v>325.84788334645771</v>
          </cell>
          <cell r="H93">
            <v>375</v>
          </cell>
          <cell r="I93">
            <v>1989.1077585405469</v>
          </cell>
          <cell r="J93">
            <v>5259.8298214193801</v>
          </cell>
          <cell r="K93">
            <v>9511.0548540614418</v>
          </cell>
          <cell r="L93">
            <v>15641.227444973039</v>
          </cell>
          <cell r="M93">
            <v>21640.614758230087</v>
          </cell>
          <cell r="N93">
            <v>22651.979579018429</v>
          </cell>
          <cell r="O93">
            <v>27221.46061315143</v>
          </cell>
          <cell r="P93">
            <v>32389.402950008272</v>
          </cell>
          <cell r="Q93">
            <v>35051.771719687109</v>
          </cell>
          <cell r="R93">
            <v>41286.646924549219</v>
          </cell>
          <cell r="S93">
            <v>43803.079261345694</v>
          </cell>
          <cell r="T93">
            <v>50195.92751577781</v>
          </cell>
          <cell r="U93">
            <v>56764.792306490068</v>
          </cell>
          <cell r="V93">
            <v>63199.711429338233</v>
          </cell>
          <cell r="W93">
            <v>70216.022660499875</v>
          </cell>
          <cell r="X93">
            <v>71647.200265357227</v>
          </cell>
          <cell r="Y93">
            <v>75046.397490467381</v>
          </cell>
          <cell r="Z93">
            <v>82965.673740079787</v>
          </cell>
          <cell r="AA93">
            <v>91186.728118129278</v>
          </cell>
          <cell r="AB93">
            <v>99796.298027752637</v>
          </cell>
          <cell r="AC93">
            <v>103081.70569029993</v>
          </cell>
          <cell r="AD93">
            <v>112084.11031991555</v>
          </cell>
          <cell r="AE93">
            <v>133298.84221439355</v>
          </cell>
          <cell r="AF93">
            <v>152582.43572181926</v>
          </cell>
          <cell r="AG93">
            <v>172022.38689270831</v>
          </cell>
          <cell r="AH93">
            <v>191781.91102202624</v>
          </cell>
          <cell r="AI93">
            <v>212142.24702331281</v>
          </cell>
          <cell r="AJ93">
            <v>233158.91213233134</v>
          </cell>
          <cell r="AK93">
            <v>254857.4790280918</v>
          </cell>
          <cell r="AL93">
            <v>272685.16481590265</v>
          </cell>
        </row>
        <row r="94">
          <cell r="C94">
            <v>269</v>
          </cell>
          <cell r="D94" t="str">
            <v>CURRENT ASSETS</v>
          </cell>
          <cell r="E94" t="str">
            <v>Th EUR</v>
          </cell>
          <cell r="F94">
            <v>4944.1165013633781</v>
          </cell>
          <cell r="G94">
            <v>4154.5605126673363</v>
          </cell>
          <cell r="H94">
            <v>3687.5</v>
          </cell>
          <cell r="I94">
            <v>5334.4758240652927</v>
          </cell>
          <cell r="J94">
            <v>8727.6214148018826</v>
          </cell>
          <cell r="K94">
            <v>13141.179676346721</v>
          </cell>
          <cell r="L94">
            <v>19500.966005830451</v>
          </cell>
          <cell r="M94">
            <v>25594.210286167625</v>
          </cell>
          <cell r="N94">
            <v>26694.730076195185</v>
          </cell>
          <cell r="O94">
            <v>31318.542829087193</v>
          </cell>
          <cell r="P94">
            <v>36537.976148473128</v>
          </cell>
          <cell r="Q94">
            <v>39267.776801717882</v>
          </cell>
          <cell r="R94">
            <v>45563.053397917029</v>
          </cell>
          <cell r="S94">
            <v>48113.986714421662</v>
          </cell>
          <cell r="T94">
            <v>54553.47659590796</v>
          </cell>
          <cell r="U94">
            <v>61170.166450744284</v>
          </cell>
          <cell r="V94">
            <v>67662.721886125189</v>
          </cell>
          <cell r="W94">
            <v>74738.253950047656</v>
          </cell>
          <cell r="X94">
            <v>76229.961734584402</v>
          </cell>
          <cell r="Y94">
            <v>79686.985375335076</v>
          </cell>
          <cell r="Z94">
            <v>87673.206829194402</v>
          </cell>
          <cell r="AA94">
            <v>95965.846448969605</v>
          </cell>
          <cell r="AB94">
            <v>104649.61179374949</v>
          </cell>
          <cell r="AC94">
            <v>108011.05128361171</v>
          </cell>
          <cell r="AD94">
            <v>117091.01863017394</v>
          </cell>
          <cell r="AE94">
            <v>137987.2521193283</v>
          </cell>
          <cell r="AF94">
            <v>157218.7554938946</v>
          </cell>
          <cell r="AG94">
            <v>176607.99725908891</v>
          </cell>
          <cell r="AH94">
            <v>196448.72020968018</v>
          </cell>
          <cell r="AI94">
            <v>216892.9009501152</v>
          </cell>
          <cell r="AJ94">
            <v>237996.31970701896</v>
          </cell>
          <cell r="AK94">
            <v>259784.77511146877</v>
          </cell>
          <cell r="AL94">
            <v>277431.77295641979</v>
          </cell>
        </row>
        <row r="95">
          <cell r="C95">
            <v>270</v>
          </cell>
          <cell r="D95" t="str">
            <v>TOTAL ASSETS</v>
          </cell>
          <cell r="E95" t="str">
            <v>Th EUR</v>
          </cell>
          <cell r="F95">
            <v>28361.250112366288</v>
          </cell>
          <cell r="G95">
            <v>25785.429168816358</v>
          </cell>
          <cell r="H95">
            <v>23807.5</v>
          </cell>
          <cell r="I95">
            <v>46539.141931186241</v>
          </cell>
          <cell r="J95">
            <v>46127.801157869399</v>
          </cell>
          <cell r="K95">
            <v>46975.191358820288</v>
          </cell>
          <cell r="L95">
            <v>50226.396299794586</v>
          </cell>
          <cell r="M95">
            <v>53051.966182357588</v>
          </cell>
          <cell r="N95">
            <v>56012.297917047908</v>
          </cell>
          <cell r="O95">
            <v>57022.561073452671</v>
          </cell>
          <cell r="P95">
            <v>58737.691867761663</v>
          </cell>
          <cell r="Q95">
            <v>61409.152161579419</v>
          </cell>
          <cell r="R95">
            <v>63723.341059730155</v>
          </cell>
          <cell r="S95">
            <v>65864.593832861894</v>
          </cell>
          <cell r="T95">
            <v>70024.169753735157</v>
          </cell>
          <cell r="U95">
            <v>74360.945647958462</v>
          </cell>
          <cell r="V95">
            <v>78929.006967410824</v>
          </cell>
          <cell r="W95">
            <v>83689.08308625182</v>
          </cell>
          <cell r="X95">
            <v>88694.684474829672</v>
          </cell>
          <cell r="Y95">
            <v>93322.811202565485</v>
          </cell>
          <cell r="Z95">
            <v>98003.692357733205</v>
          </cell>
          <cell r="AA95">
            <v>103104.18751369923</v>
          </cell>
          <cell r="AB95">
            <v>108471.29297629926</v>
          </cell>
          <cell r="AC95">
            <v>114916.09547141584</v>
          </cell>
          <cell r="AD95">
            <v>121312.9740516349</v>
          </cell>
          <cell r="AE95">
            <v>139200.18143780358</v>
          </cell>
          <cell r="AF95">
            <v>157218.7554938946</v>
          </cell>
          <cell r="AG95">
            <v>176607.99725908891</v>
          </cell>
          <cell r="AH95">
            <v>196448.72020968018</v>
          </cell>
          <cell r="AI95">
            <v>216892.9009501152</v>
          </cell>
          <cell r="AJ95">
            <v>237996.31970701896</v>
          </cell>
          <cell r="AK95">
            <v>259784.77511146877</v>
          </cell>
          <cell r="AL95">
            <v>277431.77295641979</v>
          </cell>
        </row>
        <row r="96">
          <cell r="C96">
            <v>271</v>
          </cell>
          <cell r="D96" t="str">
            <v>Shareholders' contributions</v>
          </cell>
          <cell r="E96" t="str">
            <v>Th EUR</v>
          </cell>
          <cell r="F96">
            <v>29964.34243250532</v>
          </cell>
          <cell r="G96">
            <v>27153.990278871479</v>
          </cell>
          <cell r="H96">
            <v>25000</v>
          </cell>
          <cell r="I96">
            <v>24355.91603053435</v>
          </cell>
          <cell r="J96">
            <v>23979.762887205634</v>
          </cell>
          <cell r="K96">
            <v>23700.928435028825</v>
          </cell>
          <cell r="L96">
            <v>23516.485412188136</v>
          </cell>
          <cell r="M96">
            <v>23401.770849201854</v>
          </cell>
          <cell r="N96">
            <v>23333.143955215928</v>
          </cell>
          <cell r="O96">
            <v>23333.143955215928</v>
          </cell>
          <cell r="P96">
            <v>23333.143955215928</v>
          </cell>
          <cell r="Q96">
            <v>23333.143955215928</v>
          </cell>
          <cell r="R96">
            <v>23333.143955215928</v>
          </cell>
          <cell r="S96">
            <v>23333.143955215932</v>
          </cell>
          <cell r="T96">
            <v>23333.143955215932</v>
          </cell>
          <cell r="U96">
            <v>23333.143955215932</v>
          </cell>
          <cell r="V96">
            <v>23333.143955215932</v>
          </cell>
          <cell r="W96">
            <v>23333.143955215932</v>
          </cell>
          <cell r="X96">
            <v>23333.143955215928</v>
          </cell>
          <cell r="Y96">
            <v>23333.143955215932</v>
          </cell>
          <cell r="Z96">
            <v>23333.143955215932</v>
          </cell>
          <cell r="AA96">
            <v>23333.143955215932</v>
          </cell>
          <cell r="AB96">
            <v>23333.143955215932</v>
          </cell>
          <cell r="AC96">
            <v>23333.143955215932</v>
          </cell>
          <cell r="AD96">
            <v>23333.143955215932</v>
          </cell>
          <cell r="AE96">
            <v>23333.143955215932</v>
          </cell>
          <cell r="AF96">
            <v>23333.143955215932</v>
          </cell>
          <cell r="AG96">
            <v>23333.143955215928</v>
          </cell>
          <cell r="AH96">
            <v>23333.143955215928</v>
          </cell>
          <cell r="AI96">
            <v>23333.143955215928</v>
          </cell>
          <cell r="AJ96">
            <v>23333.143955215928</v>
          </cell>
          <cell r="AK96">
            <v>23333.143955215928</v>
          </cell>
          <cell r="AL96">
            <v>23333.143955215928</v>
          </cell>
        </row>
        <row r="97">
          <cell r="C97">
            <v>272</v>
          </cell>
          <cell r="D97" t="str">
            <v>Retained earnings</v>
          </cell>
          <cell r="E97" t="str">
            <v>Th EUR</v>
          </cell>
          <cell r="F97">
            <v>-2232.3435112216462</v>
          </cell>
          <cell r="G97">
            <v>-2025.6876748038123</v>
          </cell>
          <cell r="H97">
            <v>-1882.5</v>
          </cell>
          <cell r="I97">
            <v>1749.2096620904149</v>
          </cell>
          <cell r="J97">
            <v>3915.0130810344622</v>
          </cell>
          <cell r="K97">
            <v>6534.9841066390427</v>
          </cell>
          <cell r="L97">
            <v>10843.83889394106</v>
          </cell>
          <cell r="M97">
            <v>15279.619702684176</v>
          </cell>
          <cell r="N97">
            <v>19866.82088631847</v>
          </cell>
          <cell r="O97">
            <v>22957.297796439598</v>
          </cell>
          <cell r="P97">
            <v>26208.78565692202</v>
          </cell>
          <cell r="Q97">
            <v>30209.458827959697</v>
          </cell>
          <cell r="R97">
            <v>34140.230332236388</v>
          </cell>
          <cell r="S97">
            <v>37952.723356378236</v>
          </cell>
          <cell r="T97">
            <v>42092.191616165197</v>
          </cell>
          <cell r="U97">
            <v>46448.866487949315</v>
          </cell>
          <cell r="V97">
            <v>51038.122158589897</v>
          </cell>
          <cell r="W97">
            <v>55834.611811756964</v>
          </cell>
          <cell r="X97">
            <v>60872.804639884285</v>
          </cell>
          <cell r="Y97">
            <v>65694.503811974471</v>
          </cell>
          <cell r="Z97">
            <v>70500.227574965669</v>
          </cell>
          <cell r="AA97">
            <v>75624.22449413604</v>
          </cell>
          <cell r="AB97">
            <v>81036.723166933501</v>
          </cell>
          <cell r="AC97">
            <v>87182.593403424427</v>
          </cell>
          <cell r="AD97">
            <v>93469.64429488458</v>
          </cell>
          <cell r="AE97">
            <v>108881.64469896699</v>
          </cell>
          <cell r="AF97">
            <v>126216.80951491847</v>
          </cell>
          <cell r="AG97">
            <v>145055.66188593575</v>
          </cell>
          <cell r="AH97">
            <v>164600.96832152724</v>
          </cell>
          <cell r="AI97">
            <v>184773.33631968696</v>
          </cell>
          <cell r="AJ97">
            <v>205595.2107119032</v>
          </cell>
          <cell r="AK97">
            <v>227091.37967584751</v>
          </cell>
          <cell r="AL97">
            <v>245897.61588869858</v>
          </cell>
        </row>
        <row r="98">
          <cell r="C98">
            <v>273</v>
          </cell>
          <cell r="D98" t="str">
            <v>EQUITY</v>
          </cell>
          <cell r="E98" t="str">
            <v>Th EUR</v>
          </cell>
          <cell r="F98">
            <v>27731.998921283674</v>
          </cell>
          <cell r="G98">
            <v>25128.302604067667</v>
          </cell>
          <cell r="H98">
            <v>23117.5</v>
          </cell>
          <cell r="I98">
            <v>26105.125692624766</v>
          </cell>
          <cell r="J98">
            <v>27894.775968240097</v>
          </cell>
          <cell r="K98">
            <v>30235.912541667869</v>
          </cell>
          <cell r="L98">
            <v>34360.324306129194</v>
          </cell>
          <cell r="M98">
            <v>38681.390551886027</v>
          </cell>
          <cell r="N98">
            <v>43199.964841534398</v>
          </cell>
          <cell r="O98">
            <v>46290.441751655526</v>
          </cell>
          <cell r="P98">
            <v>49541.929612137945</v>
          </cell>
          <cell r="Q98">
            <v>53542.602783175622</v>
          </cell>
          <cell r="R98">
            <v>57473.374287452316</v>
          </cell>
          <cell r="S98">
            <v>61285.867311594164</v>
          </cell>
          <cell r="T98">
            <v>65425.335571381132</v>
          </cell>
          <cell r="U98">
            <v>69782.010443165243</v>
          </cell>
          <cell r="V98">
            <v>74371.266113805832</v>
          </cell>
          <cell r="W98">
            <v>79167.755766972899</v>
          </cell>
          <cell r="X98">
            <v>84205.948595100213</v>
          </cell>
          <cell r="Y98">
            <v>89027.647767190399</v>
          </cell>
          <cell r="Z98">
            <v>93833.371530181597</v>
          </cell>
          <cell r="AA98">
            <v>98957.368449351969</v>
          </cell>
          <cell r="AB98">
            <v>104369.86712214943</v>
          </cell>
          <cell r="AC98">
            <v>110515.73735864036</v>
          </cell>
          <cell r="AD98">
            <v>116802.78825010051</v>
          </cell>
          <cell r="AE98">
            <v>132214.78865418292</v>
          </cell>
          <cell r="AF98">
            <v>149549.95347013441</v>
          </cell>
          <cell r="AG98">
            <v>168388.80584115168</v>
          </cell>
          <cell r="AH98">
            <v>187934.11227674317</v>
          </cell>
          <cell r="AI98">
            <v>208106.48027490289</v>
          </cell>
          <cell r="AJ98">
            <v>228928.35466711913</v>
          </cell>
          <cell r="AK98">
            <v>250424.52363106344</v>
          </cell>
          <cell r="AL98">
            <v>269230.75984391454</v>
          </cell>
        </row>
        <row r="99">
          <cell r="C99">
            <v>274</v>
          </cell>
          <cell r="D99" t="str">
            <v>Investment grants</v>
          </cell>
          <cell r="E99" t="str">
            <v>Th EUR</v>
          </cell>
          <cell r="F99">
            <v>44.946513648757978</v>
          </cell>
          <cell r="G99">
            <v>43.446384446194365</v>
          </cell>
          <cell r="H99">
            <v>45</v>
          </cell>
          <cell r="I99">
            <v>15914.819655693063</v>
          </cell>
          <cell r="J99">
            <v>15669.030935141818</v>
          </cell>
          <cell r="K99">
            <v>15486.832901012262</v>
          </cell>
          <cell r="L99">
            <v>15366.31280061528</v>
          </cell>
          <cell r="M99">
            <v>15291.355177197649</v>
          </cell>
          <cell r="N99">
            <v>15246.512493393551</v>
          </cell>
          <cell r="O99">
            <v>15246.512493393551</v>
          </cell>
          <cell r="P99">
            <v>15246.512493393551</v>
          </cell>
          <cell r="Q99">
            <v>15246.512493393551</v>
          </cell>
          <cell r="R99">
            <v>15246.512493393551</v>
          </cell>
          <cell r="S99">
            <v>15246.512493393553</v>
          </cell>
          <cell r="T99">
            <v>15246.512493393553</v>
          </cell>
          <cell r="U99">
            <v>15246.512493393553</v>
          </cell>
          <cell r="V99">
            <v>15246.512493393553</v>
          </cell>
          <cell r="W99">
            <v>15246.512493393553</v>
          </cell>
          <cell r="X99">
            <v>15246.512493393551</v>
          </cell>
          <cell r="Y99">
            <v>15246.512493393553</v>
          </cell>
          <cell r="Z99">
            <v>15246.512493393553</v>
          </cell>
          <cell r="AA99">
            <v>15246.512493393553</v>
          </cell>
          <cell r="AB99">
            <v>15246.512493393553</v>
          </cell>
          <cell r="AC99">
            <v>15246.512493393553</v>
          </cell>
          <cell r="AD99">
            <v>15246.512493393553</v>
          </cell>
          <cell r="AE99">
            <v>15246.512493393553</v>
          </cell>
          <cell r="AF99">
            <v>15246.512493393553</v>
          </cell>
          <cell r="AG99">
            <v>15246.512493393551</v>
          </cell>
          <cell r="AH99">
            <v>15246.512493393551</v>
          </cell>
          <cell r="AI99">
            <v>15246.512493393551</v>
          </cell>
          <cell r="AJ99">
            <v>15246.512493393551</v>
          </cell>
          <cell r="AK99">
            <v>15246.512493393551</v>
          </cell>
          <cell r="AL99">
            <v>15246.512493393551</v>
          </cell>
        </row>
        <row r="100">
          <cell r="C100">
            <v>275</v>
          </cell>
          <cell r="D100" t="str">
            <v>less transfers to income statement</v>
          </cell>
          <cell r="E100" t="str">
            <v>Th EUR</v>
          </cell>
          <cell r="F100">
            <v>0</v>
          </cell>
          <cell r="G100">
            <v>0</v>
          </cell>
          <cell r="H100">
            <v>0</v>
          </cell>
          <cell r="I100">
            <v>-4.3840648854961826</v>
          </cell>
          <cell r="J100">
            <v>-1571.2194508338789</v>
          </cell>
          <cell r="K100">
            <v>-3101.6327473207575</v>
          </cell>
          <cell r="L100">
            <v>-4614.1268075587786</v>
          </cell>
          <cell r="M100">
            <v>-6120.7543896319157</v>
          </cell>
          <cell r="N100">
            <v>-7627.4562126087148</v>
          </cell>
          <cell r="O100">
            <v>-9152.1074619480714</v>
          </cell>
          <cell r="P100">
            <v>-10676.758711287424</v>
          </cell>
          <cell r="Q100">
            <v>-12201.409960626779</v>
          </cell>
          <cell r="R100">
            <v>-13726.061209966134</v>
          </cell>
          <cell r="S100">
            <v>-15246.512493393553</v>
          </cell>
          <cell r="T100">
            <v>-15246.512493393553</v>
          </cell>
          <cell r="U100">
            <v>-15246.512493393553</v>
          </cell>
          <cell r="V100">
            <v>-15246.512493393553</v>
          </cell>
          <cell r="W100">
            <v>-15246.512493393553</v>
          </cell>
          <cell r="X100">
            <v>-15246.512493393551</v>
          </cell>
          <cell r="Y100">
            <v>-15246.512493393553</v>
          </cell>
          <cell r="Z100">
            <v>-15246.512493393553</v>
          </cell>
          <cell r="AA100">
            <v>-15246.512493393553</v>
          </cell>
          <cell r="AB100">
            <v>-15246.512493393553</v>
          </cell>
          <cell r="AC100">
            <v>-15246.512493393553</v>
          </cell>
          <cell r="AD100">
            <v>-15246.512493393553</v>
          </cell>
          <cell r="AE100">
            <v>-15246.512493393553</v>
          </cell>
          <cell r="AF100">
            <v>-15246.512493393553</v>
          </cell>
          <cell r="AG100">
            <v>-15246.512493393551</v>
          </cell>
          <cell r="AH100">
            <v>-15246.512493393551</v>
          </cell>
          <cell r="AI100">
            <v>-15246.512493393551</v>
          </cell>
          <cell r="AJ100">
            <v>-15246.512493393551</v>
          </cell>
          <cell r="AK100">
            <v>-15246.512493393551</v>
          </cell>
          <cell r="AL100">
            <v>-15246.512493393551</v>
          </cell>
        </row>
        <row r="101">
          <cell r="C101">
            <v>276</v>
          </cell>
          <cell r="D101" t="str">
            <v>Loans</v>
          </cell>
          <cell r="E101" t="str">
            <v>Th EUR</v>
          </cell>
          <cell r="F101">
            <v>0</v>
          </cell>
          <cell r="G101">
            <v>0</v>
          </cell>
          <cell r="H101">
            <v>0</v>
          </cell>
          <cell r="I101">
            <v>2104.3461955500002</v>
          </cell>
          <cell r="J101">
            <v>2104.3461955500002</v>
          </cell>
          <cell r="K101">
            <v>2104.3461955500002</v>
          </cell>
          <cell r="L101">
            <v>2104.3461955500002</v>
          </cell>
          <cell r="M101">
            <v>2104.3461955500002</v>
          </cell>
          <cell r="N101">
            <v>2010.4384890061708</v>
          </cell>
          <cell r="O101">
            <v>1911.3658586024305</v>
          </cell>
          <cell r="P101">
            <v>1806.844233526484</v>
          </cell>
          <cell r="Q101">
            <v>1696.5739190713612</v>
          </cell>
          <cell r="R101">
            <v>1580.2387373212061</v>
          </cell>
          <cell r="S101">
            <v>1457.5051205747927</v>
          </cell>
          <cell r="T101">
            <v>1328.0211549073265</v>
          </cell>
          <cell r="U101">
            <v>1191.4155711281498</v>
          </cell>
          <cell r="V101">
            <v>1047.2966802411183</v>
          </cell>
          <cell r="W101">
            <v>895.25125035529993</v>
          </cell>
          <cell r="X101">
            <v>734.84332182576168</v>
          </cell>
          <cell r="Y101">
            <v>565.61295722709883</v>
          </cell>
          <cell r="Z101">
            <v>387.0749225755095</v>
          </cell>
          <cell r="AA101">
            <v>198.71729601808275</v>
          </cell>
          <cell r="AB101">
            <v>-2.4669843558457178E-12</v>
          </cell>
          <cell r="AC101">
            <v>-2.4669843558457178E-12</v>
          </cell>
          <cell r="AD101">
            <v>-2.4669843558457178E-12</v>
          </cell>
          <cell r="AE101">
            <v>-2.4669843558457178E-12</v>
          </cell>
          <cell r="AF101">
            <v>-2.4669843558457178E-12</v>
          </cell>
          <cell r="AG101">
            <v>-2.4669843558457174E-12</v>
          </cell>
          <cell r="AH101">
            <v>-2.4669843558457174E-12</v>
          </cell>
          <cell r="AI101">
            <v>-2.4669843558457174E-12</v>
          </cell>
          <cell r="AJ101">
            <v>-2.4669843558457174E-12</v>
          </cell>
          <cell r="AK101">
            <v>-2.4669843558457174E-12</v>
          </cell>
          <cell r="AL101">
            <v>-2.4669843558457174E-12</v>
          </cell>
        </row>
        <row r="102">
          <cell r="C102">
            <v>277</v>
          </cell>
          <cell r="D102" t="str">
            <v>Bank overdraft</v>
          </cell>
          <cell r="E102" t="str">
            <v>Th EUR</v>
          </cell>
          <cell r="F102">
            <v>0</v>
          </cell>
          <cell r="G102">
            <v>0</v>
          </cell>
          <cell r="H102">
            <v>0</v>
          </cell>
          <cell r="I102">
            <v>224.35411195927463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C103">
            <v>278</v>
          </cell>
          <cell r="D103" t="str">
            <v>Accounts payable and other current liabilites</v>
          </cell>
          <cell r="E103" t="str">
            <v>Th EUR</v>
          </cell>
          <cell r="F103">
            <v>539.35816378509583</v>
          </cell>
          <cell r="G103">
            <v>570.23379585630107</v>
          </cell>
          <cell r="H103">
            <v>600</v>
          </cell>
          <cell r="I103">
            <v>994.55387927027346</v>
          </cell>
          <cell r="J103">
            <v>1279.968949067573</v>
          </cell>
          <cell r="K103">
            <v>1346.7789425218552</v>
          </cell>
          <cell r="L103">
            <v>1560.1077377744016</v>
          </cell>
          <cell r="M103">
            <v>1604.7788322401627</v>
          </cell>
          <cell r="N103">
            <v>1645.8514687937106</v>
          </cell>
          <cell r="O103">
            <v>1686.8932619558632</v>
          </cell>
          <cell r="P103">
            <v>1727.7425729911888</v>
          </cell>
          <cell r="Q103">
            <v>1791.650709598184</v>
          </cell>
          <cell r="R103">
            <v>1838.6153899713793</v>
          </cell>
          <cell r="S103">
            <v>1848.7345750516113</v>
          </cell>
          <cell r="T103">
            <v>1892.7945119940077</v>
          </cell>
          <cell r="U103">
            <v>1939.3973968799578</v>
          </cell>
          <cell r="V103">
            <v>1987.2561761012703</v>
          </cell>
          <cell r="W103">
            <v>2036.0030296816178</v>
          </cell>
          <cell r="X103">
            <v>2085.8094992300448</v>
          </cell>
          <cell r="Y103">
            <v>2131.3410333276015</v>
          </cell>
          <cell r="Z103">
            <v>2190.1925445738802</v>
          </cell>
          <cell r="AA103">
            <v>2252.3253257739407</v>
          </cell>
          <cell r="AB103">
            <v>2312.5350889953534</v>
          </cell>
          <cell r="AC103">
            <v>2374.7707053707504</v>
          </cell>
          <cell r="AD103">
            <v>2439.0321509914625</v>
          </cell>
          <cell r="AE103">
            <v>1969.1496078398748</v>
          </cell>
          <cell r="AF103">
            <v>2031.8549901803433</v>
          </cell>
          <cell r="AG103">
            <v>2096.9272369551754</v>
          </cell>
          <cell r="AH103">
            <v>2164.3347681506521</v>
          </cell>
          <cell r="AI103">
            <v>2233.7625616605033</v>
          </cell>
          <cell r="AJ103">
            <v>2305.6778785308279</v>
          </cell>
          <cell r="AK103">
            <v>2380.334854087112</v>
          </cell>
          <cell r="AL103">
            <v>2089.2758397145185</v>
          </cell>
        </row>
        <row r="104">
          <cell r="C104">
            <v>279</v>
          </cell>
          <cell r="D104" t="str">
            <v>Taxes and dividends</v>
          </cell>
          <cell r="E104" t="str">
            <v>Th EUR</v>
          </cell>
          <cell r="F104">
            <v>0</v>
          </cell>
          <cell r="G104">
            <v>0</v>
          </cell>
          <cell r="H104">
            <v>0</v>
          </cell>
          <cell r="I104">
            <v>1156.4858121194113</v>
          </cell>
          <cell r="J104">
            <v>707.73498750683484</v>
          </cell>
          <cell r="K104">
            <v>860.29185420602539</v>
          </cell>
          <cell r="L104">
            <v>1407.1023935425787</v>
          </cell>
          <cell r="M104">
            <v>1448.7266275871229</v>
          </cell>
          <cell r="N104">
            <v>1494.9871778094407</v>
          </cell>
          <cell r="O104">
            <v>997.45551067401573</v>
          </cell>
          <cell r="P104">
            <v>1049.422007880569</v>
          </cell>
          <cell r="Q104">
            <v>1291.2225578481384</v>
          </cell>
          <cell r="R104">
            <v>1268.6617024385087</v>
          </cell>
          <cell r="S104">
            <v>1230.4871665219705</v>
          </cell>
          <cell r="T104">
            <v>1336.018856333357</v>
          </cell>
          <cell r="U104">
            <v>1406.1225776657736</v>
          </cell>
          <cell r="V104">
            <v>1481.1883381432583</v>
          </cell>
          <cell r="W104">
            <v>1548.0733801226991</v>
          </cell>
          <cell r="X104">
            <v>1626.0833995543285</v>
          </cell>
          <cell r="Y104">
            <v>1556.2097857010581</v>
          </cell>
          <cell r="Z104">
            <v>1551.0537012828795</v>
          </cell>
          <cell r="AA104">
            <v>1653.7767834359329</v>
          </cell>
          <cell r="AB104">
            <v>1746.8911060351643</v>
          </cell>
          <cell r="AC104">
            <v>1983.5877482854269</v>
          </cell>
          <cell r="AD104">
            <v>2029.1539914236464</v>
          </cell>
          <cell r="AE104">
            <v>4974.2435166615169</v>
          </cell>
          <cell r="AF104">
            <v>5594.9473744605339</v>
          </cell>
          <cell r="AG104">
            <v>6080.2645218627322</v>
          </cell>
          <cell r="AH104">
            <v>6308.2735056670899</v>
          </cell>
          <cell r="AI104">
            <v>6510.6584544325051</v>
          </cell>
          <cell r="AJ104">
            <v>6720.2875022496983</v>
          </cell>
          <cell r="AK104">
            <v>6937.916967198943</v>
          </cell>
          <cell r="AL104">
            <v>6069.7376136715093</v>
          </cell>
        </row>
        <row r="105">
          <cell r="C105">
            <v>280</v>
          </cell>
          <cell r="D105" t="str">
            <v>LIABILITIES</v>
          </cell>
          <cell r="E105" t="str">
            <v>Th EUR</v>
          </cell>
          <cell r="F105">
            <v>584.30467743385384</v>
          </cell>
          <cell r="G105">
            <v>613.68018030249539</v>
          </cell>
          <cell r="H105">
            <v>645</v>
          </cell>
          <cell r="I105">
            <v>20390.175589706523</v>
          </cell>
          <cell r="J105">
            <v>18189.861616432347</v>
          </cell>
          <cell r="K105">
            <v>16696.617145969387</v>
          </cell>
          <cell r="L105">
            <v>15823.742319923482</v>
          </cell>
          <cell r="M105">
            <v>14328.45244294302</v>
          </cell>
          <cell r="N105">
            <v>12770.333416394158</v>
          </cell>
          <cell r="O105">
            <v>10690.119662677789</v>
          </cell>
          <cell r="P105">
            <v>9153.762596504368</v>
          </cell>
          <cell r="Q105">
            <v>7824.5497192844559</v>
          </cell>
          <cell r="R105">
            <v>6207.967113158511</v>
          </cell>
          <cell r="S105">
            <v>4536.7268621483745</v>
          </cell>
          <cell r="T105">
            <v>4556.834523234691</v>
          </cell>
          <cell r="U105">
            <v>4536.9355456738813</v>
          </cell>
          <cell r="V105">
            <v>4515.7411944856467</v>
          </cell>
          <cell r="W105">
            <v>4479.3276601596172</v>
          </cell>
          <cell r="X105">
            <v>4446.7362206101352</v>
          </cell>
          <cell r="Y105">
            <v>4253.1637762557584</v>
          </cell>
          <cell r="Z105">
            <v>4128.3211684322687</v>
          </cell>
          <cell r="AA105">
            <v>4104.8194052279559</v>
          </cell>
          <cell r="AB105">
            <v>4059.4261950305154</v>
          </cell>
          <cell r="AC105">
            <v>4358.3584536561748</v>
          </cell>
          <cell r="AD105">
            <v>4468.1861424151066</v>
          </cell>
          <cell r="AE105">
            <v>6943.3931245013891</v>
          </cell>
          <cell r="AF105">
            <v>7626.8023646408747</v>
          </cell>
          <cell r="AG105">
            <v>8177.1917588179058</v>
          </cell>
          <cell r="AH105">
            <v>8472.6082738177392</v>
          </cell>
          <cell r="AI105">
            <v>8744.4210160930052</v>
          </cell>
          <cell r="AJ105">
            <v>9025.9653807805244</v>
          </cell>
          <cell r="AK105">
            <v>9318.2518212860523</v>
          </cell>
          <cell r="AL105">
            <v>8159.0134533860255</v>
          </cell>
        </row>
        <row r="106">
          <cell r="C106">
            <v>281</v>
          </cell>
          <cell r="D106" t="str">
            <v>TOTAL EQUITY AND LIABILITIES</v>
          </cell>
          <cell r="E106" t="str">
            <v>Th EUR</v>
          </cell>
          <cell r="F106">
            <v>28316.303598717528</v>
          </cell>
          <cell r="G106">
            <v>25741.982784370161</v>
          </cell>
          <cell r="H106">
            <v>23762.5</v>
          </cell>
          <cell r="I106">
            <v>46495.301282331289</v>
          </cell>
          <cell r="J106">
            <v>46084.63758467244</v>
          </cell>
          <cell r="K106">
            <v>46932.529687637259</v>
          </cell>
          <cell r="L106">
            <v>50184.066626052678</v>
          </cell>
          <cell r="M106">
            <v>53009.842994829043</v>
          </cell>
          <cell r="N106">
            <v>55970.29825792856</v>
          </cell>
          <cell r="O106">
            <v>56980.561414333315</v>
          </cell>
          <cell r="P106">
            <v>58695.692208642315</v>
          </cell>
          <cell r="Q106">
            <v>61367.152502460078</v>
          </cell>
          <cell r="R106">
            <v>63681.341400610829</v>
          </cell>
          <cell r="S106">
            <v>65822.594173742546</v>
          </cell>
          <cell r="T106">
            <v>69982.170094615823</v>
          </cell>
          <cell r="U106">
            <v>74318.945988839128</v>
          </cell>
          <cell r="V106">
            <v>78887.007308291475</v>
          </cell>
          <cell r="W106">
            <v>83647.083427132515</v>
          </cell>
          <cell r="X106">
            <v>88652.684815710352</v>
          </cell>
          <cell r="Y106">
            <v>93280.811543446151</v>
          </cell>
          <cell r="Z106">
            <v>97961.692698613871</v>
          </cell>
          <cell r="AA106">
            <v>103062.18785457993</v>
          </cell>
          <cell r="AB106">
            <v>108429.29331717995</v>
          </cell>
          <cell r="AC106">
            <v>114874.09581229652</v>
          </cell>
          <cell r="AD106">
            <v>121270.97439251561</v>
          </cell>
          <cell r="AE106">
            <v>139158.18177868432</v>
          </cell>
          <cell r="AF106">
            <v>157176.75583477528</v>
          </cell>
          <cell r="AG106">
            <v>176565.99759996959</v>
          </cell>
          <cell r="AH106">
            <v>196406.72055056092</v>
          </cell>
          <cell r="AI106">
            <v>216850.90129099588</v>
          </cell>
          <cell r="AJ106">
            <v>237954.32004789964</v>
          </cell>
          <cell r="AK106">
            <v>259742.77545234948</v>
          </cell>
          <cell r="AL106">
            <v>277389.77329730056</v>
          </cell>
        </row>
        <row r="107">
          <cell r="E107" t="str">
            <v>Control</v>
          </cell>
          <cell r="F107">
            <v>44.946513648759719</v>
          </cell>
          <cell r="G107">
            <v>43.446384446197044</v>
          </cell>
          <cell r="H107">
            <v>45</v>
          </cell>
          <cell r="I107">
            <v>43.840648854951723</v>
          </cell>
          <cell r="J107">
            <v>43.163573196958168</v>
          </cell>
          <cell r="K107">
            <v>42.661671183028375</v>
          </cell>
          <cell r="L107">
            <v>42.329673741907754</v>
          </cell>
          <cell r="M107">
            <v>42.123187528544804</v>
          </cell>
          <cell r="N107">
            <v>41.999659119348507</v>
          </cell>
          <cell r="O107">
            <v>41.999659119355783</v>
          </cell>
          <cell r="P107">
            <v>41.999659119348507</v>
          </cell>
          <cell r="Q107">
            <v>41.999659119341231</v>
          </cell>
          <cell r="R107">
            <v>41.99965911932668</v>
          </cell>
          <cell r="S107">
            <v>41.999659119348507</v>
          </cell>
          <cell r="T107">
            <v>41.999659119333955</v>
          </cell>
          <cell r="U107">
            <v>41.999659119333955</v>
          </cell>
          <cell r="V107">
            <v>41.999659119348507</v>
          </cell>
          <cell r="W107">
            <v>41.999659119304852</v>
          </cell>
          <cell r="X107">
            <v>41.999659119319404</v>
          </cell>
          <cell r="Y107">
            <v>41.999659119333955</v>
          </cell>
          <cell r="Z107">
            <v>41.999659119333955</v>
          </cell>
          <cell r="AA107">
            <v>41.999659119304852</v>
          </cell>
          <cell r="AB107">
            <v>41.999659119304852</v>
          </cell>
          <cell r="AC107">
            <v>41.999659119319404</v>
          </cell>
          <cell r="AD107">
            <v>41.9996591192903</v>
          </cell>
          <cell r="AE107">
            <v>41.999659119261196</v>
          </cell>
          <cell r="AF107">
            <v>41.999659119319404</v>
          </cell>
          <cell r="AG107">
            <v>41.999659119319404</v>
          </cell>
          <cell r="AH107">
            <v>41.999659119261196</v>
          </cell>
          <cell r="AI107">
            <v>41.999659119319404</v>
          </cell>
          <cell r="AJ107">
            <v>41.999659119319404</v>
          </cell>
          <cell r="AK107">
            <v>41.9996591192903</v>
          </cell>
          <cell r="AL107">
            <v>41.999659119232092</v>
          </cell>
        </row>
      </sheetData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  <sheetName val="Unit Costs"/>
      <sheetName val="O&amp;M Admin. costs"/>
      <sheetName val="Sorting"/>
      <sheetName val="MBA simple"/>
      <sheetName val="composting"/>
      <sheetName val="Transfer Station"/>
      <sheetName val="Landfill 0.8t"/>
      <sheetName val="Hazwaste"/>
      <sheetName val="Collection"/>
      <sheetName val="Closure non-c lf and dumping si"/>
      <sheetName val="existing equipment"/>
      <sheetName val="Phare-CES Sibiu"/>
      <sheetName val="Priority Investment Plan"/>
      <sheetName val="comparison Invest"/>
      <sheetName val="invest plan large"/>
      <sheetName val=" O&amp;M cost without capex"/>
      <sheetName val="Massbilance alternatives 1 to 3"/>
      <sheetName val="Alternative 1 Dolj"/>
      <sheetName val="Alternative 2 Dolj"/>
      <sheetName val="Alternative 3 Dolj"/>
      <sheetName val="Vehicles"/>
      <sheetName val="Mass Z1 Craiova"/>
      <sheetName val="mass Z2 Bailesti"/>
      <sheetName val="mass Z3 Calafat"/>
      <sheetName val="Mass Z4 Filiasi"/>
      <sheetName val="mass Z5 Dobresti"/>
      <sheetName val="zone 6 Goicea"/>
      <sheetName val="Annex V"/>
      <sheetName val="Tables for  FS"/>
      <sheetName val="Interface CB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AJ66"/>
  <sheetViews>
    <sheetView topLeftCell="A59" zoomScaleNormal="100" zoomScaleSheetLayoutView="100" workbookViewId="0">
      <selection activeCell="B72" sqref="B72"/>
    </sheetView>
  </sheetViews>
  <sheetFormatPr defaultColWidth="9.140625" defaultRowHeight="12.75" x14ac:dyDescent="0.2"/>
  <cols>
    <col min="1" max="1" width="6" style="2" customWidth="1"/>
    <col min="2" max="2" width="20.5703125" style="2" customWidth="1"/>
    <col min="3" max="3" width="15.85546875" style="2" customWidth="1"/>
    <col min="4" max="4" width="9.140625" style="2"/>
    <col min="5" max="7" width="9.5703125" style="2" bestFit="1" customWidth="1"/>
    <col min="8" max="8" width="14.42578125" style="2" customWidth="1"/>
    <col min="9" max="12" width="9.5703125" style="2" bestFit="1" customWidth="1"/>
    <col min="13" max="13" width="14.28515625" style="2" customWidth="1"/>
    <col min="14" max="35" width="9.5703125" style="2" bestFit="1" customWidth="1"/>
    <col min="36" max="36" width="11" style="2" customWidth="1"/>
    <col min="37" max="16384" width="9.140625" style="2"/>
  </cols>
  <sheetData>
    <row r="2" spans="2:17" x14ac:dyDescent="0.2">
      <c r="P2" s="149">
        <v>1286.3399999999999</v>
      </c>
      <c r="Q2" s="148">
        <v>37226</v>
      </c>
    </row>
    <row r="3" spans="2:17" x14ac:dyDescent="0.2">
      <c r="B3" s="1"/>
      <c r="P3" s="149">
        <v>1633.02</v>
      </c>
      <c r="Q3" s="148">
        <v>37591</v>
      </c>
    </row>
    <row r="4" spans="2:17" ht="13.5" thickBot="1" x14ac:dyDescent="0.25">
      <c r="P4" s="149">
        <v>1744.43</v>
      </c>
      <c r="Q4" s="148">
        <v>37956</v>
      </c>
    </row>
    <row r="5" spans="2:17" ht="13.5" thickBot="1" x14ac:dyDescent="0.25">
      <c r="B5" s="132"/>
      <c r="P5" s="149">
        <v>1977.22</v>
      </c>
      <c r="Q5" s="148">
        <v>38322</v>
      </c>
    </row>
    <row r="6" spans="2:17" ht="13.5" thickBot="1" x14ac:dyDescent="0.25">
      <c r="P6" s="149">
        <v>2178.25</v>
      </c>
      <c r="Q6" s="148">
        <v>38687</v>
      </c>
    </row>
    <row r="7" spans="2:17" ht="15" customHeight="1" thickBot="1" x14ac:dyDescent="0.3">
      <c r="B7" s="668"/>
      <c r="C7" s="669"/>
      <c r="D7" s="669"/>
      <c r="E7" s="669"/>
      <c r="F7" s="669"/>
      <c r="G7" s="669"/>
      <c r="H7" s="670"/>
      <c r="I7" s="3"/>
      <c r="J7" s="3"/>
      <c r="K7" s="3"/>
      <c r="L7" s="3"/>
      <c r="M7" s="3"/>
      <c r="N7" s="3"/>
      <c r="O7" s="3"/>
      <c r="P7" s="149">
        <v>2271.6999999999998</v>
      </c>
      <c r="Q7" s="148">
        <v>39052</v>
      </c>
    </row>
    <row r="8" spans="2:17" ht="16.5" thickBot="1" x14ac:dyDescent="0.3">
      <c r="B8" s="103"/>
      <c r="C8" s="10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149">
        <v>2631.14</v>
      </c>
      <c r="Q8" s="148">
        <v>39417</v>
      </c>
    </row>
    <row r="9" spans="2:17" ht="15.75" customHeight="1" x14ac:dyDescent="0.25">
      <c r="B9" s="666"/>
      <c r="C9" s="666"/>
      <c r="D9" s="666"/>
      <c r="E9" s="666"/>
      <c r="F9" s="666"/>
      <c r="G9" s="666"/>
      <c r="H9" s="666"/>
      <c r="I9" s="366">
        <v>2475.04</v>
      </c>
      <c r="J9" s="367" t="s">
        <v>3</v>
      </c>
      <c r="K9" s="3"/>
      <c r="L9" s="134">
        <f>2633.04/I9</f>
        <v>1.063837352123602</v>
      </c>
      <c r="M9" s="118"/>
      <c r="N9" s="3"/>
      <c r="O9" s="3"/>
      <c r="P9" s="149">
        <v>2940.11</v>
      </c>
      <c r="Q9" s="148">
        <v>39783</v>
      </c>
    </row>
    <row r="10" spans="2:17" ht="15.75" x14ac:dyDescent="0.25">
      <c r="B10" s="3"/>
      <c r="C10" s="4"/>
      <c r="D10" s="3"/>
      <c r="E10" s="3"/>
      <c r="F10" s="3"/>
      <c r="G10" s="3"/>
      <c r="H10" s="3"/>
      <c r="I10" s="366">
        <v>2694.35</v>
      </c>
      <c r="J10" s="367" t="s">
        <v>3</v>
      </c>
      <c r="K10" s="3"/>
      <c r="L10" s="119">
        <f>I10/I9</f>
        <v>1.0886086689508048</v>
      </c>
      <c r="M10" s="120" t="s">
        <v>4</v>
      </c>
      <c r="N10" s="3"/>
      <c r="O10" s="3"/>
      <c r="P10" s="149">
        <v>3374.5</v>
      </c>
      <c r="Q10" s="148">
        <v>40148</v>
      </c>
    </row>
    <row r="11" spans="2:17" ht="15.75" x14ac:dyDescent="0.25">
      <c r="B11" s="3"/>
      <c r="C11" s="4"/>
      <c r="D11" s="3"/>
      <c r="E11" s="3"/>
      <c r="F11" s="3"/>
      <c r="G11" s="3"/>
      <c r="H11" s="3"/>
      <c r="I11" s="366">
        <v>2182.09</v>
      </c>
      <c r="J11" s="367" t="s">
        <v>3</v>
      </c>
      <c r="K11" s="3"/>
      <c r="L11" s="119">
        <f>I11/I9</f>
        <v>0.88163827655310634</v>
      </c>
      <c r="M11" s="120" t="s">
        <v>4</v>
      </c>
      <c r="N11" s="3"/>
      <c r="O11" s="3"/>
      <c r="P11" s="149">
        <v>4713.17</v>
      </c>
      <c r="Q11" s="148">
        <v>40513</v>
      </c>
    </row>
    <row r="12" spans="2:17" ht="15.75" customHeight="1" x14ac:dyDescent="0.25">
      <c r="B12" s="666"/>
      <c r="C12" s="666"/>
      <c r="D12" s="666"/>
      <c r="E12" s="666"/>
      <c r="F12" s="666"/>
      <c r="G12" s="666"/>
      <c r="H12" s="666"/>
      <c r="I12" s="366">
        <f>I9/D46</f>
        <v>861.18302018093243</v>
      </c>
      <c r="J12" s="367" t="s">
        <v>3</v>
      </c>
      <c r="K12" s="3"/>
      <c r="L12" s="121"/>
      <c r="M12" s="120"/>
      <c r="N12" s="3"/>
      <c r="O12" s="3"/>
      <c r="P12" s="150">
        <f>SUM(P2:P11)/10</f>
        <v>2474.9879999999998</v>
      </c>
    </row>
    <row r="13" spans="2:17" ht="15.75" x14ac:dyDescent="0.25">
      <c r="B13" s="3"/>
      <c r="C13" s="4"/>
      <c r="D13" s="3"/>
      <c r="E13" s="3"/>
      <c r="F13" s="3"/>
      <c r="G13" s="3"/>
      <c r="H13" s="3"/>
      <c r="I13" s="366">
        <f>I10/D48</f>
        <v>978.69596803487093</v>
      </c>
      <c r="J13" s="367" t="s">
        <v>3</v>
      </c>
      <c r="K13" s="3"/>
      <c r="L13" s="119">
        <f>I13/I12</f>
        <v>1.1364552541099211</v>
      </c>
      <c r="M13" s="120" t="s">
        <v>4</v>
      </c>
      <c r="N13" s="3"/>
      <c r="O13" s="3"/>
      <c r="P13" s="28">
        <f>P2/P12</f>
        <v>0.51973585326474314</v>
      </c>
      <c r="Q13" s="2">
        <f>P2/P7</f>
        <v>0.5662455429854294</v>
      </c>
    </row>
    <row r="14" spans="2:17" ht="15.75" x14ac:dyDescent="0.25">
      <c r="B14" s="3"/>
      <c r="C14" s="4"/>
      <c r="D14" s="3"/>
      <c r="E14" s="3"/>
      <c r="F14" s="3"/>
      <c r="G14" s="3"/>
      <c r="H14" s="3"/>
      <c r="I14" s="366">
        <f>I11/D47</f>
        <v>718.73847167325437</v>
      </c>
      <c r="J14" s="367" t="s">
        <v>3</v>
      </c>
      <c r="K14" s="3"/>
      <c r="L14" s="119">
        <f>I14/I12</f>
        <v>0.83459433689513429</v>
      </c>
      <c r="M14" s="120" t="s">
        <v>4</v>
      </c>
      <c r="N14" s="3"/>
      <c r="O14" s="3"/>
    </row>
    <row r="15" spans="2:17" ht="15.75" x14ac:dyDescent="0.25">
      <c r="B15" s="5"/>
      <c r="C15" s="4"/>
      <c r="D15" s="3"/>
      <c r="E15" s="3"/>
      <c r="F15" s="3"/>
      <c r="G15" s="3"/>
      <c r="H15" s="3"/>
      <c r="I15" s="366">
        <v>1286.3399999999999</v>
      </c>
      <c r="J15" s="367" t="s">
        <v>3</v>
      </c>
      <c r="K15" s="3"/>
      <c r="L15" s="119">
        <f>I15/I9</f>
        <v>0.51972493373844464</v>
      </c>
      <c r="M15" s="120" t="s">
        <v>4</v>
      </c>
      <c r="N15" s="3"/>
      <c r="O15" s="3"/>
    </row>
    <row r="16" spans="2:17" ht="15.75" x14ac:dyDescent="0.25">
      <c r="B16" s="5"/>
      <c r="C16" s="4"/>
      <c r="D16" s="3"/>
      <c r="E16" s="3"/>
      <c r="F16" s="3"/>
      <c r="G16" s="3"/>
      <c r="H16" s="3"/>
      <c r="I16" s="368">
        <f>I15/4.023</f>
        <v>319.74645786726325</v>
      </c>
      <c r="J16" s="367" t="s">
        <v>3</v>
      </c>
      <c r="K16" s="3"/>
      <c r="L16" s="119">
        <f>I16/I12</f>
        <v>0.37128746198466073</v>
      </c>
      <c r="M16" s="120"/>
      <c r="N16" s="3"/>
      <c r="O16" s="3"/>
    </row>
    <row r="17" spans="2:15" ht="15" x14ac:dyDescent="0.25">
      <c r="B17" s="11"/>
      <c r="C17" s="6"/>
      <c r="D17" s="6"/>
      <c r="E17" s="6"/>
      <c r="F17" s="6"/>
      <c r="G17" s="6"/>
      <c r="H17" s="6"/>
      <c r="I17" s="369">
        <f>1507/2063</f>
        <v>0.73048957828405237</v>
      </c>
      <c r="J17" s="367"/>
      <c r="K17" s="3"/>
      <c r="L17" s="121"/>
      <c r="M17" s="120"/>
      <c r="N17" s="3"/>
      <c r="O17" s="3"/>
    </row>
    <row r="18" spans="2:15" ht="15.75" x14ac:dyDescent="0.25">
      <c r="B18" s="5"/>
      <c r="C18" s="4"/>
      <c r="D18" s="3"/>
      <c r="E18" s="3"/>
      <c r="F18" s="3"/>
      <c r="G18" s="3"/>
      <c r="H18" s="139"/>
      <c r="I18" s="366">
        <f>I17*I9</f>
        <v>1807.9909258361608</v>
      </c>
      <c r="J18" s="367" t="s">
        <v>3</v>
      </c>
      <c r="K18" s="3"/>
      <c r="L18" s="121"/>
      <c r="M18" s="120"/>
      <c r="N18" s="3"/>
      <c r="O18" s="3"/>
    </row>
    <row r="19" spans="2:15" ht="15.75" x14ac:dyDescent="0.25">
      <c r="B19" s="5"/>
      <c r="C19" s="4"/>
      <c r="D19" s="3"/>
      <c r="E19" s="3"/>
      <c r="F19" s="3"/>
      <c r="G19" s="3"/>
      <c r="H19" s="3"/>
      <c r="I19" s="368">
        <f>I18/D46</f>
        <v>629.08522123735588</v>
      </c>
      <c r="J19" s="367" t="s">
        <v>3</v>
      </c>
      <c r="K19" s="3"/>
      <c r="L19" s="121"/>
      <c r="M19" s="120"/>
      <c r="N19" s="3"/>
      <c r="O19" s="3"/>
    </row>
    <row r="20" spans="2:15" ht="16.5" thickBot="1" x14ac:dyDescent="0.3">
      <c r="B20" s="5"/>
      <c r="C20" s="4"/>
      <c r="D20" s="3"/>
      <c r="E20" s="3"/>
      <c r="F20" s="3"/>
      <c r="G20" s="3"/>
      <c r="H20" s="3"/>
      <c r="I20" s="370">
        <v>0.98899999999999999</v>
      </c>
      <c r="J20" s="367"/>
      <c r="K20" s="3"/>
      <c r="L20" s="122"/>
      <c r="M20" s="123"/>
      <c r="N20" s="3"/>
      <c r="O20" s="3"/>
    </row>
    <row r="21" spans="2:15" ht="16.5" thickBot="1" x14ac:dyDescent="0.3">
      <c r="B21" s="3"/>
      <c r="C21" s="4"/>
      <c r="D21" s="3"/>
      <c r="E21" s="3"/>
      <c r="F21" s="3"/>
      <c r="G21" s="3"/>
      <c r="H21" s="3"/>
      <c r="I21" s="3"/>
      <c r="J21" s="6"/>
      <c r="K21" s="3"/>
      <c r="L21" s="3"/>
      <c r="M21" s="3"/>
      <c r="N21" s="3"/>
      <c r="O21" s="3"/>
    </row>
    <row r="22" spans="2:15" ht="15.75" x14ac:dyDescent="0.25">
      <c r="B22" s="103"/>
      <c r="C22" s="104"/>
      <c r="D22" s="103"/>
      <c r="E22" s="3"/>
      <c r="F22" s="3"/>
      <c r="G22" s="3"/>
      <c r="H22" s="3"/>
      <c r="I22" s="142">
        <v>2012</v>
      </c>
      <c r="J22" s="143"/>
      <c r="K22" s="144">
        <v>2011</v>
      </c>
      <c r="L22" s="3"/>
      <c r="M22" s="3"/>
      <c r="N22" s="3"/>
      <c r="O22" s="3"/>
    </row>
    <row r="23" spans="2:15" ht="15.75" x14ac:dyDescent="0.25">
      <c r="B23" s="26"/>
      <c r="C23" s="4"/>
      <c r="D23" s="3"/>
      <c r="E23" s="3"/>
      <c r="F23" s="3"/>
      <c r="G23" s="3"/>
      <c r="H23" s="3"/>
      <c r="I23" s="133">
        <v>2256.7199999999998</v>
      </c>
      <c r="J23" s="124" t="s">
        <v>3</v>
      </c>
      <c r="K23" s="120"/>
      <c r="L23" s="145">
        <f>I23/I9</f>
        <v>0.91179132458465306</v>
      </c>
      <c r="M23" s="7" t="s">
        <v>5</v>
      </c>
      <c r="N23" s="3"/>
      <c r="O23" s="3"/>
    </row>
    <row r="24" spans="2:15" ht="15.75" x14ac:dyDescent="0.25">
      <c r="B24" s="26"/>
      <c r="C24" s="4"/>
      <c r="D24" s="3"/>
      <c r="E24" s="3"/>
      <c r="F24" s="3"/>
      <c r="G24" s="3"/>
      <c r="H24" s="3"/>
      <c r="I24" s="138">
        <f>I23/2.98</f>
        <v>757.28859060402681</v>
      </c>
      <c r="J24" s="124" t="s">
        <v>3</v>
      </c>
      <c r="K24" s="120"/>
      <c r="L24" s="145">
        <f>I24/I12</f>
        <v>0.87935847881083673</v>
      </c>
      <c r="M24" s="7" t="s">
        <v>5</v>
      </c>
      <c r="N24" s="3"/>
      <c r="O24" s="3"/>
    </row>
    <row r="25" spans="2:15" ht="15.75" x14ac:dyDescent="0.25">
      <c r="B25" s="26"/>
      <c r="C25" s="4"/>
      <c r="D25" s="3"/>
      <c r="E25" s="3"/>
      <c r="F25" s="3"/>
      <c r="G25" s="3"/>
      <c r="H25" s="3"/>
      <c r="I25" s="138">
        <f>I23*87.59%</f>
        <v>1976.6610479999999</v>
      </c>
      <c r="J25" s="124" t="s">
        <v>3</v>
      </c>
      <c r="K25" s="120"/>
      <c r="L25" s="145">
        <f>I25/I23</f>
        <v>0.87590000000000001</v>
      </c>
      <c r="M25" s="26" t="s">
        <v>358</v>
      </c>
      <c r="N25" s="3"/>
      <c r="O25" s="3"/>
    </row>
    <row r="26" spans="2:15" ht="15.75" x14ac:dyDescent="0.25">
      <c r="B26" s="26"/>
      <c r="C26" s="4"/>
      <c r="D26" s="3"/>
      <c r="E26" s="3"/>
      <c r="F26" s="3"/>
      <c r="G26" s="3"/>
      <c r="H26" s="3"/>
      <c r="I26" s="140">
        <f>[10]VS_FORECAST_TOT!$J$31</f>
        <v>1027.2484003143766</v>
      </c>
      <c r="J26" s="124"/>
      <c r="K26" s="125">
        <f>I26/$I$20</f>
        <v>1038.673812249117</v>
      </c>
      <c r="L26" s="3"/>
      <c r="M26" s="3"/>
      <c r="N26" s="3"/>
      <c r="O26" s="3"/>
    </row>
    <row r="27" spans="2:15" ht="15.75" x14ac:dyDescent="0.25">
      <c r="B27" s="26"/>
      <c r="C27" s="4"/>
      <c r="D27" s="3"/>
      <c r="E27" s="3"/>
      <c r="F27" s="3"/>
      <c r="G27" s="3"/>
      <c r="H27" s="3"/>
      <c r="I27" s="140">
        <f>[10]VS_FORECAST_URBAN!$J$31</f>
        <v>1223.5474248043181</v>
      </c>
      <c r="J27" s="124"/>
      <c r="K27" s="141">
        <f>K26*108.92%</f>
        <v>1131.3235163017382</v>
      </c>
      <c r="L27" s="3"/>
      <c r="M27" s="3"/>
      <c r="N27" s="3"/>
      <c r="O27" s="3"/>
    </row>
    <row r="28" spans="2:15" ht="15.75" x14ac:dyDescent="0.25">
      <c r="B28" s="26"/>
      <c r="C28" s="4"/>
      <c r="D28" s="3"/>
      <c r="E28" s="3"/>
      <c r="F28" s="3"/>
      <c r="G28" s="3"/>
      <c r="H28" s="3"/>
      <c r="I28" s="140">
        <f>[10]VS_FORECAST_RURAL_!$J$31</f>
        <v>898.49339167063488</v>
      </c>
      <c r="J28" s="124"/>
      <c r="K28" s="141">
        <f>K26*88.28%</f>
        <v>916.94124145352043</v>
      </c>
      <c r="L28" s="3"/>
      <c r="M28" s="3"/>
      <c r="N28" s="3"/>
      <c r="O28" s="3"/>
    </row>
    <row r="29" spans="2:15" ht="15.75" x14ac:dyDescent="0.25">
      <c r="B29" s="26"/>
      <c r="C29" s="4"/>
      <c r="D29" s="3"/>
      <c r="E29" s="3"/>
      <c r="F29" s="3"/>
      <c r="G29" s="3"/>
      <c r="H29" s="3"/>
      <c r="I29" s="138">
        <f>I25*I17</f>
        <v>1443.9302953640329</v>
      </c>
      <c r="J29" s="124" t="s">
        <v>3</v>
      </c>
      <c r="K29" s="120"/>
      <c r="L29" s="3"/>
      <c r="M29" s="3"/>
      <c r="N29" s="3"/>
      <c r="O29" s="3"/>
    </row>
    <row r="30" spans="2:15" ht="15.75" x14ac:dyDescent="0.25">
      <c r="B30" s="7"/>
      <c r="C30" s="8"/>
      <c r="D30" s="7"/>
      <c r="E30" s="7"/>
      <c r="F30" s="7"/>
      <c r="G30" s="7"/>
      <c r="H30" s="7"/>
      <c r="I30" s="138">
        <f>I29</f>
        <v>1443.9302953640329</v>
      </c>
      <c r="J30" s="126" t="s">
        <v>3</v>
      </c>
      <c r="K30" s="125">
        <f>I30/$I$20</f>
        <v>1459.9901874257157</v>
      </c>
      <c r="L30" s="3"/>
      <c r="M30" s="3"/>
      <c r="N30" s="3"/>
      <c r="O30" s="3"/>
    </row>
    <row r="31" spans="2:15" ht="15.75" x14ac:dyDescent="0.25">
      <c r="B31" s="7"/>
      <c r="C31" s="8"/>
      <c r="D31" s="7"/>
      <c r="E31" s="7"/>
      <c r="F31" s="7"/>
      <c r="G31" s="7"/>
      <c r="H31" s="7"/>
      <c r="I31" s="138">
        <f>I30*108.86%</f>
        <v>1571.8625195332861</v>
      </c>
      <c r="J31" s="126" t="s">
        <v>3</v>
      </c>
      <c r="K31" s="127">
        <f>K30*108.92%</f>
        <v>1590.2213121440896</v>
      </c>
      <c r="L31" s="3"/>
      <c r="M31" s="3"/>
      <c r="N31" s="3"/>
      <c r="O31" s="3"/>
    </row>
    <row r="32" spans="2:15" ht="15.75" x14ac:dyDescent="0.25">
      <c r="B32" s="7"/>
      <c r="C32" s="8"/>
      <c r="D32" s="7"/>
      <c r="E32" s="7"/>
      <c r="F32" s="7"/>
      <c r="G32" s="7"/>
      <c r="H32" s="7"/>
      <c r="I32" s="138">
        <f>I30*88.16%</f>
        <v>1272.9689483929312</v>
      </c>
      <c r="J32" s="126" t="s">
        <v>3</v>
      </c>
      <c r="K32" s="127">
        <f>K30*88.28%</f>
        <v>1288.8793374594218</v>
      </c>
      <c r="L32" s="3"/>
      <c r="M32" s="3"/>
      <c r="N32" s="3"/>
      <c r="O32" s="3"/>
    </row>
    <row r="33" spans="2:15" ht="15" x14ac:dyDescent="0.25">
      <c r="B33" s="9"/>
      <c r="C33" s="6"/>
      <c r="D33" s="6"/>
      <c r="E33" s="6"/>
      <c r="F33" s="6"/>
      <c r="G33" s="6"/>
      <c r="H33" s="6"/>
      <c r="I33" s="146">
        <f>I30*35.63%</f>
        <v>514.47236423820493</v>
      </c>
      <c r="J33" s="128" t="s">
        <v>3</v>
      </c>
      <c r="K33" s="129">
        <f>K30*39.19%</f>
        <v>572.17015445213792</v>
      </c>
      <c r="L33" s="6"/>
      <c r="M33" s="6"/>
      <c r="N33" s="6"/>
      <c r="O33" s="3"/>
    </row>
    <row r="34" spans="2:15" ht="15" x14ac:dyDescent="0.25">
      <c r="B34" s="9"/>
      <c r="C34" s="6"/>
      <c r="D34" s="6"/>
      <c r="E34" s="6"/>
      <c r="F34" s="6"/>
      <c r="G34" s="6"/>
      <c r="H34" s="6"/>
      <c r="I34" s="146">
        <f>I31*35.63%</f>
        <v>560.05461570970988</v>
      </c>
      <c r="J34" s="128" t="s">
        <v>3</v>
      </c>
      <c r="K34" s="129">
        <f>K31*39.19%</f>
        <v>623.20773222926869</v>
      </c>
      <c r="L34" s="6"/>
      <c r="M34" s="6"/>
      <c r="N34" s="6"/>
      <c r="O34" s="3"/>
    </row>
    <row r="35" spans="2:15" ht="15.75" thickBot="1" x14ac:dyDescent="0.3">
      <c r="B35" s="9"/>
      <c r="I35" s="147">
        <f t="shared" ref="I35" si="0">I32*35.63%</f>
        <v>453.55883631240141</v>
      </c>
      <c r="J35" s="130" t="s">
        <v>3</v>
      </c>
      <c r="K35" s="131">
        <f>K32*39.19%</f>
        <v>505.11181235034735</v>
      </c>
      <c r="L35" s="6"/>
      <c r="M35" s="6"/>
      <c r="N35" s="6"/>
      <c r="O35" s="3"/>
    </row>
    <row r="36" spans="2:15" ht="15" x14ac:dyDescent="0.25">
      <c r="B36" s="9"/>
      <c r="I36" s="10"/>
      <c r="J36" s="9"/>
      <c r="K36" s="6"/>
      <c r="L36" s="6"/>
      <c r="M36" s="6"/>
      <c r="N36" s="6"/>
      <c r="O36" s="3"/>
    </row>
    <row r="37" spans="2:15" ht="15" x14ac:dyDescent="0.25">
      <c r="B37" s="667"/>
      <c r="C37" s="667"/>
      <c r="D37" s="667"/>
      <c r="E37" s="667"/>
      <c r="F37" s="667"/>
      <c r="G37" s="667"/>
      <c r="H37" s="667"/>
      <c r="I37" s="12"/>
      <c r="J37" s="6"/>
      <c r="K37" s="6"/>
      <c r="L37" s="6"/>
      <c r="M37" s="6"/>
      <c r="N37" s="6"/>
      <c r="O37" s="3"/>
    </row>
    <row r="38" spans="2:15" ht="15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/>
    </row>
    <row r="39" spans="2:15" ht="15" x14ac:dyDescent="0.25">
      <c r="B39" s="27"/>
      <c r="C39" s="13"/>
      <c r="D39" s="13"/>
      <c r="E39" s="13"/>
      <c r="F39" s="13"/>
      <c r="G39" s="13"/>
      <c r="H39" s="13"/>
      <c r="I39" s="6"/>
      <c r="J39" s="6"/>
      <c r="K39" s="6"/>
      <c r="L39" s="6"/>
      <c r="M39" s="6"/>
      <c r="N39" s="6"/>
      <c r="O39" s="3"/>
    </row>
    <row r="40" spans="2:15" ht="15" x14ac:dyDescent="0.25">
      <c r="B40" s="27"/>
      <c r="C40" s="13"/>
      <c r="D40" s="13"/>
      <c r="E40" s="13"/>
      <c r="F40" s="13"/>
      <c r="G40" s="13"/>
      <c r="H40" s="13"/>
      <c r="I40" s="13"/>
      <c r="J40" s="13"/>
      <c r="K40" s="13"/>
      <c r="L40" s="29" t="s">
        <v>2</v>
      </c>
      <c r="M40" s="28" t="s">
        <v>2</v>
      </c>
      <c r="N40" s="13"/>
      <c r="O40" s="14"/>
    </row>
    <row r="41" spans="2:15" ht="15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5">
        <f>35.63%*96.55%</f>
        <v>0.34400765</v>
      </c>
      <c r="L41" s="13"/>
      <c r="M41" s="13"/>
      <c r="N41" s="13"/>
      <c r="O41" s="14"/>
    </row>
    <row r="42" spans="2:15" ht="15" x14ac:dyDescent="0.25">
      <c r="B42" s="27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/>
    </row>
    <row r="43" spans="2:15" ht="15" x14ac:dyDescent="0.25">
      <c r="B43" s="27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/>
    </row>
    <row r="44" spans="2:15" ht="13.5" thickBot="1" x14ac:dyDescent="0.25"/>
    <row r="45" spans="2:15" ht="30" x14ac:dyDescent="0.25">
      <c r="B45" s="113" t="s">
        <v>6</v>
      </c>
      <c r="C45" s="107"/>
      <c r="D45" s="108"/>
    </row>
    <row r="46" spans="2:15" ht="15" x14ac:dyDescent="0.25">
      <c r="B46" s="135" t="s">
        <v>7</v>
      </c>
      <c r="C46" s="136"/>
      <c r="D46" s="137">
        <v>2.8740000000000001</v>
      </c>
    </row>
    <row r="47" spans="2:15" ht="15" x14ac:dyDescent="0.25">
      <c r="B47" s="109" t="s">
        <v>1</v>
      </c>
      <c r="C47" s="110"/>
      <c r="D47" s="114">
        <v>3.036</v>
      </c>
    </row>
    <row r="48" spans="2:15" ht="15.75" thickBot="1" x14ac:dyDescent="0.3">
      <c r="B48" s="111" t="s">
        <v>0</v>
      </c>
      <c r="C48" s="112"/>
      <c r="D48" s="115">
        <v>2.7530000000000001</v>
      </c>
    </row>
    <row r="50" spans="2:36" hidden="1" x14ac:dyDescent="0.2"/>
    <row r="51" spans="2:36" hidden="1" x14ac:dyDescent="0.2"/>
    <row r="52" spans="2:36" hidden="1" x14ac:dyDescent="0.2"/>
    <row r="53" spans="2:36" hidden="1" x14ac:dyDescent="0.2"/>
    <row r="54" spans="2:36" hidden="1" x14ac:dyDescent="0.2"/>
    <row r="55" spans="2:36" hidden="1" x14ac:dyDescent="0.2"/>
    <row r="57" spans="2:36" ht="15.75" thickBot="1" x14ac:dyDescent="0.3">
      <c r="B57" s="116" t="s">
        <v>8</v>
      </c>
      <c r="C57" s="117">
        <v>0.05</v>
      </c>
      <c r="D57" s="16"/>
      <c r="E57" s="16" t="s">
        <v>9</v>
      </c>
      <c r="F57" s="16" t="s">
        <v>9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</row>
    <row r="58" spans="2:36" ht="15" x14ac:dyDescent="0.25">
      <c r="B58" s="152" t="s">
        <v>10</v>
      </c>
      <c r="C58" s="17" t="s">
        <v>2</v>
      </c>
      <c r="D58" s="17" t="s">
        <v>2</v>
      </c>
      <c r="E58" s="179">
        <v>0</v>
      </c>
      <c r="F58" s="180">
        <v>0</v>
      </c>
      <c r="G58" s="181">
        <f t="shared" ref="G58:AG58" si="1">F58+1</f>
        <v>1</v>
      </c>
      <c r="H58" s="181">
        <f t="shared" si="1"/>
        <v>2</v>
      </c>
      <c r="I58" s="181">
        <f t="shared" si="1"/>
        <v>3</v>
      </c>
      <c r="J58" s="181">
        <f t="shared" si="1"/>
        <v>4</v>
      </c>
      <c r="K58" s="181">
        <f t="shared" si="1"/>
        <v>5</v>
      </c>
      <c r="L58" s="181">
        <f t="shared" si="1"/>
        <v>6</v>
      </c>
      <c r="M58" s="181">
        <f t="shared" si="1"/>
        <v>7</v>
      </c>
      <c r="N58" s="181">
        <f t="shared" si="1"/>
        <v>8</v>
      </c>
      <c r="O58" s="181">
        <f t="shared" si="1"/>
        <v>9</v>
      </c>
      <c r="P58" s="181">
        <f t="shared" si="1"/>
        <v>10</v>
      </c>
      <c r="Q58" s="181">
        <f t="shared" si="1"/>
        <v>11</v>
      </c>
      <c r="R58" s="181">
        <f t="shared" si="1"/>
        <v>12</v>
      </c>
      <c r="S58" s="181">
        <f t="shared" si="1"/>
        <v>13</v>
      </c>
      <c r="T58" s="181">
        <f t="shared" si="1"/>
        <v>14</v>
      </c>
      <c r="U58" s="181">
        <f t="shared" si="1"/>
        <v>15</v>
      </c>
      <c r="V58" s="181">
        <f t="shared" si="1"/>
        <v>16</v>
      </c>
      <c r="W58" s="181">
        <f t="shared" si="1"/>
        <v>17</v>
      </c>
      <c r="X58" s="181">
        <f t="shared" si="1"/>
        <v>18</v>
      </c>
      <c r="Y58" s="181">
        <f t="shared" si="1"/>
        <v>19</v>
      </c>
      <c r="Z58" s="181">
        <f t="shared" si="1"/>
        <v>20</v>
      </c>
      <c r="AA58" s="181">
        <f t="shared" si="1"/>
        <v>21</v>
      </c>
      <c r="AB58" s="181">
        <f t="shared" si="1"/>
        <v>22</v>
      </c>
      <c r="AC58" s="181">
        <f t="shared" si="1"/>
        <v>23</v>
      </c>
      <c r="AD58" s="181">
        <f t="shared" si="1"/>
        <v>24</v>
      </c>
      <c r="AE58" s="181">
        <f t="shared" si="1"/>
        <v>25</v>
      </c>
      <c r="AF58" s="181">
        <f t="shared" si="1"/>
        <v>26</v>
      </c>
      <c r="AG58" s="181">
        <f t="shared" si="1"/>
        <v>27</v>
      </c>
      <c r="AH58" s="181">
        <f>AG58+1</f>
        <v>28</v>
      </c>
      <c r="AI58" s="181">
        <f>AH58+1</f>
        <v>29</v>
      </c>
      <c r="AJ58" s="182">
        <v>30</v>
      </c>
    </row>
    <row r="59" spans="2:36" ht="15" x14ac:dyDescent="0.25">
      <c r="B59" s="153"/>
      <c r="C59" s="176">
        <v>2010</v>
      </c>
      <c r="D59" s="176">
        <v>2011</v>
      </c>
      <c r="E59" s="177">
        <v>2012</v>
      </c>
      <c r="F59" s="515">
        <v>2014</v>
      </c>
      <c r="G59" s="176">
        <f>$F$59+G58</f>
        <v>2015</v>
      </c>
      <c r="H59" s="176">
        <f>$F$59+H58</f>
        <v>2016</v>
      </c>
      <c r="I59" s="176">
        <f>$F$59+I58</f>
        <v>2017</v>
      </c>
      <c r="J59" s="176">
        <f t="shared" ref="J59:AJ59" si="2">$F$59+J58</f>
        <v>2018</v>
      </c>
      <c r="K59" s="176">
        <f t="shared" si="2"/>
        <v>2019</v>
      </c>
      <c r="L59" s="176">
        <f t="shared" si="2"/>
        <v>2020</v>
      </c>
      <c r="M59" s="176">
        <f t="shared" si="2"/>
        <v>2021</v>
      </c>
      <c r="N59" s="176">
        <f t="shared" si="2"/>
        <v>2022</v>
      </c>
      <c r="O59" s="176">
        <f t="shared" si="2"/>
        <v>2023</v>
      </c>
      <c r="P59" s="176">
        <f t="shared" si="2"/>
        <v>2024</v>
      </c>
      <c r="Q59" s="176">
        <f t="shared" si="2"/>
        <v>2025</v>
      </c>
      <c r="R59" s="176">
        <f t="shared" si="2"/>
        <v>2026</v>
      </c>
      <c r="S59" s="176">
        <f t="shared" si="2"/>
        <v>2027</v>
      </c>
      <c r="T59" s="176">
        <f t="shared" si="2"/>
        <v>2028</v>
      </c>
      <c r="U59" s="176">
        <f t="shared" si="2"/>
        <v>2029</v>
      </c>
      <c r="V59" s="176">
        <f t="shared" si="2"/>
        <v>2030</v>
      </c>
      <c r="W59" s="176">
        <f t="shared" si="2"/>
        <v>2031</v>
      </c>
      <c r="X59" s="176">
        <f t="shared" si="2"/>
        <v>2032</v>
      </c>
      <c r="Y59" s="176">
        <f t="shared" si="2"/>
        <v>2033</v>
      </c>
      <c r="Z59" s="176">
        <f t="shared" si="2"/>
        <v>2034</v>
      </c>
      <c r="AA59" s="176">
        <f t="shared" si="2"/>
        <v>2035</v>
      </c>
      <c r="AB59" s="176">
        <f t="shared" si="2"/>
        <v>2036</v>
      </c>
      <c r="AC59" s="176">
        <f t="shared" si="2"/>
        <v>2037</v>
      </c>
      <c r="AD59" s="176">
        <f t="shared" si="2"/>
        <v>2038</v>
      </c>
      <c r="AE59" s="176">
        <f t="shared" si="2"/>
        <v>2039</v>
      </c>
      <c r="AF59" s="176">
        <f t="shared" si="2"/>
        <v>2040</v>
      </c>
      <c r="AG59" s="176">
        <f t="shared" si="2"/>
        <v>2041</v>
      </c>
      <c r="AH59" s="176">
        <f t="shared" si="2"/>
        <v>2042</v>
      </c>
      <c r="AI59" s="176">
        <f t="shared" si="2"/>
        <v>2043</v>
      </c>
      <c r="AJ59" s="178">
        <f t="shared" si="2"/>
        <v>2044</v>
      </c>
    </row>
    <row r="60" spans="2:36" ht="15" x14ac:dyDescent="0.25">
      <c r="B60" s="153" t="s">
        <v>413</v>
      </c>
      <c r="C60" s="18">
        <v>6.0900000000000003E-2</v>
      </c>
      <c r="D60" s="18">
        <v>5.79E-2</v>
      </c>
      <c r="E60" s="19">
        <v>3.3300000000000003E-2</v>
      </c>
      <c r="F60" s="516">
        <v>4.2999999999999997E-2</v>
      </c>
      <c r="G60" s="18">
        <v>3.3000000000000002E-2</v>
      </c>
      <c r="H60" s="18">
        <v>2.8000000000000001E-2</v>
      </c>
      <c r="I60" s="18">
        <v>2.5000000000000001E-2</v>
      </c>
      <c r="J60" s="18">
        <v>0.02</v>
      </c>
      <c r="K60" s="18">
        <v>0.02</v>
      </c>
      <c r="L60" s="18">
        <v>0.02</v>
      </c>
      <c r="M60" s="18">
        <v>0.02</v>
      </c>
      <c r="N60" s="18">
        <v>0.02</v>
      </c>
      <c r="O60" s="18">
        <v>0.02</v>
      </c>
      <c r="P60" s="18">
        <v>0.02</v>
      </c>
      <c r="Q60" s="18">
        <v>0.02</v>
      </c>
      <c r="R60" s="18">
        <v>0.02</v>
      </c>
      <c r="S60" s="18">
        <v>0.02</v>
      </c>
      <c r="T60" s="18">
        <v>0.02</v>
      </c>
      <c r="U60" s="18">
        <v>0.02</v>
      </c>
      <c r="V60" s="18">
        <v>0.02</v>
      </c>
      <c r="W60" s="18">
        <v>0.02</v>
      </c>
      <c r="X60" s="18">
        <v>0.02</v>
      </c>
      <c r="Y60" s="18">
        <v>0.02</v>
      </c>
      <c r="Z60" s="18">
        <v>0.02</v>
      </c>
      <c r="AA60" s="18">
        <v>0.02</v>
      </c>
      <c r="AB60" s="18">
        <v>0.02</v>
      </c>
      <c r="AC60" s="18">
        <v>0.02</v>
      </c>
      <c r="AD60" s="18">
        <v>0.02</v>
      </c>
      <c r="AE60" s="18">
        <v>0.02</v>
      </c>
      <c r="AF60" s="18">
        <v>0.02</v>
      </c>
      <c r="AG60" s="18">
        <v>0.02</v>
      </c>
      <c r="AH60" s="18">
        <v>0.02</v>
      </c>
      <c r="AI60" s="18">
        <v>0.02</v>
      </c>
      <c r="AJ60" s="18">
        <v>0.02</v>
      </c>
    </row>
    <row r="61" spans="2:36" ht="15" x14ac:dyDescent="0.25">
      <c r="B61" s="153" t="s">
        <v>414</v>
      </c>
      <c r="C61" s="151">
        <v>1</v>
      </c>
      <c r="D61" s="20">
        <v>1</v>
      </c>
      <c r="E61" s="21">
        <v>1</v>
      </c>
      <c r="F61" s="517">
        <v>1</v>
      </c>
      <c r="G61" s="20">
        <f>+F61*(1+G60)</f>
        <v>1.0329999999999999</v>
      </c>
      <c r="H61" s="20">
        <f t="shared" ref="H61:AE61" si="3">+G61*(1+H60)</f>
        <v>1.0619239999999999</v>
      </c>
      <c r="I61" s="20">
        <f t="shared" si="3"/>
        <v>1.0884720999999997</v>
      </c>
      <c r="J61" s="20">
        <f t="shared" si="3"/>
        <v>1.1102415419999998</v>
      </c>
      <c r="K61" s="20">
        <f t="shared" si="3"/>
        <v>1.1324463728399998</v>
      </c>
      <c r="L61" s="20">
        <f t="shared" si="3"/>
        <v>1.1550953002967999</v>
      </c>
      <c r="M61" s="20">
        <f t="shared" si="3"/>
        <v>1.1781972063027359</v>
      </c>
      <c r="N61" s="20">
        <f t="shared" si="3"/>
        <v>1.2017611504287906</v>
      </c>
      <c r="O61" s="20">
        <f t="shared" si="3"/>
        <v>1.2257963734373665</v>
      </c>
      <c r="P61" s="20">
        <f t="shared" si="3"/>
        <v>1.2503123009061139</v>
      </c>
      <c r="Q61" s="20">
        <f t="shared" si="3"/>
        <v>1.2753185469242363</v>
      </c>
      <c r="R61" s="20">
        <f t="shared" si="3"/>
        <v>1.3008249178627211</v>
      </c>
      <c r="S61" s="20">
        <f t="shared" si="3"/>
        <v>1.3268414162199755</v>
      </c>
      <c r="T61" s="20">
        <f t="shared" si="3"/>
        <v>1.3533782445443752</v>
      </c>
      <c r="U61" s="20">
        <f t="shared" si="3"/>
        <v>1.3804458094352627</v>
      </c>
      <c r="V61" s="20">
        <f t="shared" si="3"/>
        <v>1.4080547256239679</v>
      </c>
      <c r="W61" s="20">
        <f t="shared" si="3"/>
        <v>1.4362158201364472</v>
      </c>
      <c r="X61" s="20">
        <f t="shared" si="3"/>
        <v>1.4649401365391761</v>
      </c>
      <c r="Y61" s="20">
        <f t="shared" si="3"/>
        <v>1.4942389392699595</v>
      </c>
      <c r="Z61" s="20">
        <f t="shared" si="3"/>
        <v>1.5241237180553588</v>
      </c>
      <c r="AA61" s="20">
        <f t="shared" si="3"/>
        <v>1.554606192416466</v>
      </c>
      <c r="AB61" s="20">
        <f t="shared" si="3"/>
        <v>1.5856983162647953</v>
      </c>
      <c r="AC61" s="20">
        <f t="shared" si="3"/>
        <v>1.6174122825900912</v>
      </c>
      <c r="AD61" s="20">
        <f t="shared" si="3"/>
        <v>1.649760528241893</v>
      </c>
      <c r="AE61" s="20">
        <f t="shared" si="3"/>
        <v>1.6827557388067309</v>
      </c>
      <c r="AF61" s="20">
        <f>+AE61*(1+AF60)</f>
        <v>1.7164108535828655</v>
      </c>
      <c r="AG61" s="20">
        <f>+AF61*(1+AG60)</f>
        <v>1.7507390706545227</v>
      </c>
      <c r="AH61" s="20">
        <f>+AG61*(1+AH60)</f>
        <v>1.7857538520676133</v>
      </c>
      <c r="AI61" s="20">
        <f>+AH61*(1+AI60)</f>
        <v>1.8214689291089656</v>
      </c>
      <c r="AJ61" s="20">
        <v>1.8214689291089656</v>
      </c>
    </row>
    <row r="62" spans="2:36" ht="15" x14ac:dyDescent="0.25">
      <c r="B62" s="153" t="s">
        <v>415</v>
      </c>
      <c r="C62" s="22">
        <v>1.9E-2</v>
      </c>
      <c r="D62" s="22">
        <v>1.7999999999999999E-2</v>
      </c>
      <c r="E62" s="23">
        <v>1.7999999999999999E-2</v>
      </c>
      <c r="F62" s="518">
        <v>1.7999999999999999E-2</v>
      </c>
      <c r="G62" s="22">
        <v>1.7999999999999999E-2</v>
      </c>
      <c r="H62" s="22">
        <v>1.7999999999999999E-2</v>
      </c>
      <c r="I62" s="22">
        <v>1.7999999999999999E-2</v>
      </c>
      <c r="J62" s="22">
        <v>1.7999999999999999E-2</v>
      </c>
      <c r="K62" s="22">
        <v>1.7999999999999999E-2</v>
      </c>
      <c r="L62" s="22">
        <v>1.7999999999999999E-2</v>
      </c>
      <c r="M62" s="22">
        <v>1.7999999999999999E-2</v>
      </c>
      <c r="N62" s="22">
        <v>1.7999999999999999E-2</v>
      </c>
      <c r="O62" s="22">
        <v>1.7999999999999999E-2</v>
      </c>
      <c r="P62" s="22">
        <v>1.7999999999999999E-2</v>
      </c>
      <c r="Q62" s="22">
        <v>1.7999999999999999E-2</v>
      </c>
      <c r="R62" s="22">
        <v>1.7999999999999999E-2</v>
      </c>
      <c r="S62" s="22">
        <v>1.7999999999999999E-2</v>
      </c>
      <c r="T62" s="22">
        <v>1.7999999999999999E-2</v>
      </c>
      <c r="U62" s="22">
        <v>1.7999999999999999E-2</v>
      </c>
      <c r="V62" s="22">
        <v>1.7999999999999999E-2</v>
      </c>
      <c r="W62" s="22">
        <v>1.7999999999999999E-2</v>
      </c>
      <c r="X62" s="22">
        <v>1.7999999999999999E-2</v>
      </c>
      <c r="Y62" s="22">
        <v>1.7999999999999999E-2</v>
      </c>
      <c r="Z62" s="22">
        <v>1.7999999999999999E-2</v>
      </c>
      <c r="AA62" s="22">
        <v>1.7999999999999999E-2</v>
      </c>
      <c r="AB62" s="22">
        <v>1.7999999999999999E-2</v>
      </c>
      <c r="AC62" s="22">
        <v>1.7999999999999999E-2</v>
      </c>
      <c r="AD62" s="22">
        <v>1.7999999999999999E-2</v>
      </c>
      <c r="AE62" s="22">
        <v>1.7999999999999999E-2</v>
      </c>
      <c r="AF62" s="22">
        <v>1.7999999999999999E-2</v>
      </c>
      <c r="AG62" s="22">
        <v>1.7999999999999999E-2</v>
      </c>
      <c r="AH62" s="22">
        <v>1.7999999999999999E-2</v>
      </c>
      <c r="AI62" s="22">
        <v>1.7999999999999999E-2</v>
      </c>
      <c r="AJ62" s="22">
        <v>1.7999999999999999E-2</v>
      </c>
    </row>
    <row r="63" spans="2:36" ht="15" x14ac:dyDescent="0.25">
      <c r="B63" s="153" t="s">
        <v>416</v>
      </c>
      <c r="C63" s="151">
        <v>1</v>
      </c>
      <c r="D63" s="20">
        <v>1</v>
      </c>
      <c r="E63" s="21">
        <v>1</v>
      </c>
      <c r="F63" s="517">
        <v>1</v>
      </c>
      <c r="G63" s="20">
        <f t="shared" ref="G63:AE63" si="4">+F63*(1+G62)</f>
        <v>1.018</v>
      </c>
      <c r="H63" s="20">
        <f t="shared" si="4"/>
        <v>1.036324</v>
      </c>
      <c r="I63" s="20">
        <f t="shared" si="4"/>
        <v>1.0549778320000001</v>
      </c>
      <c r="J63" s="20">
        <f t="shared" si="4"/>
        <v>1.0739674329760001</v>
      </c>
      <c r="K63" s="20">
        <f t="shared" si="4"/>
        <v>1.0932988467695681</v>
      </c>
      <c r="L63" s="20">
        <f t="shared" si="4"/>
        <v>1.1129782260114203</v>
      </c>
      <c r="M63" s="20">
        <f t="shared" si="4"/>
        <v>1.1330118340796258</v>
      </c>
      <c r="N63" s="20">
        <f t="shared" si="4"/>
        <v>1.1534060470930592</v>
      </c>
      <c r="O63" s="20">
        <f t="shared" si="4"/>
        <v>1.1741673559407342</v>
      </c>
      <c r="P63" s="20">
        <f t="shared" si="4"/>
        <v>1.1953023683476673</v>
      </c>
      <c r="Q63" s="20">
        <f t="shared" si="4"/>
        <v>1.2168178109779253</v>
      </c>
      <c r="R63" s="20">
        <f t="shared" si="4"/>
        <v>1.2387205315755279</v>
      </c>
      <c r="S63" s="20">
        <f t="shared" si="4"/>
        <v>1.2610175011438873</v>
      </c>
      <c r="T63" s="20">
        <f t="shared" si="4"/>
        <v>1.2837158161644773</v>
      </c>
      <c r="U63" s="20">
        <f t="shared" si="4"/>
        <v>1.3068227008554378</v>
      </c>
      <c r="V63" s="20">
        <f t="shared" si="4"/>
        <v>1.3303455094708356</v>
      </c>
      <c r="W63" s="20">
        <f t="shared" si="4"/>
        <v>1.3542917286413108</v>
      </c>
      <c r="X63" s="20">
        <f t="shared" si="4"/>
        <v>1.3786689797568543</v>
      </c>
      <c r="Y63" s="20">
        <f t="shared" si="4"/>
        <v>1.4034850213924777</v>
      </c>
      <c r="Z63" s="20">
        <f t="shared" si="4"/>
        <v>1.4287477517775422</v>
      </c>
      <c r="AA63" s="20">
        <f t="shared" si="4"/>
        <v>1.454465211309538</v>
      </c>
      <c r="AB63" s="20">
        <f t="shared" si="4"/>
        <v>1.4806455851131097</v>
      </c>
      <c r="AC63" s="20">
        <f t="shared" si="4"/>
        <v>1.5072972056451457</v>
      </c>
      <c r="AD63" s="20">
        <f t="shared" si="4"/>
        <v>1.5344285553467583</v>
      </c>
      <c r="AE63" s="20">
        <f t="shared" si="4"/>
        <v>1.562048269343</v>
      </c>
      <c r="AF63" s="20">
        <f>+AE63*(1+AF62)</f>
        <v>1.5901651381911741</v>
      </c>
      <c r="AG63" s="20">
        <f>+AF63*(1+AG62)</f>
        <v>1.6187881106786153</v>
      </c>
      <c r="AH63" s="20">
        <f>+AG63*(1+AH62)</f>
        <v>1.6479262966708303</v>
      </c>
      <c r="AI63" s="20">
        <f>+AH63*(1+AI62)</f>
        <v>1.6775889700109052</v>
      </c>
      <c r="AJ63" s="20">
        <v>1.6775889700109052</v>
      </c>
    </row>
    <row r="64" spans="2:36" ht="37.5" customHeight="1" thickBot="1" x14ac:dyDescent="0.3">
      <c r="B64" s="154" t="s">
        <v>417</v>
      </c>
      <c r="C64" s="252">
        <v>4.2099000000000002</v>
      </c>
      <c r="D64" s="252">
        <v>4.2378999999999998</v>
      </c>
      <c r="E64" s="252">
        <v>4.4560000000000004</v>
      </c>
      <c r="F64" s="519">
        <f>4.419</f>
        <v>4.4189999999999996</v>
      </c>
      <c r="G64" s="253">
        <v>4.45</v>
      </c>
      <c r="H64" s="253">
        <v>4.4000000000000004</v>
      </c>
      <c r="I64" s="253">
        <v>4.4000000000000004</v>
      </c>
      <c r="J64" s="253">
        <v>4.37</v>
      </c>
      <c r="K64" s="253">
        <f>J64</f>
        <v>4.37</v>
      </c>
      <c r="L64" s="253">
        <f t="shared" ref="L64:AJ64" si="5">K64</f>
        <v>4.37</v>
      </c>
      <c r="M64" s="253">
        <f t="shared" si="5"/>
        <v>4.37</v>
      </c>
      <c r="N64" s="253">
        <f t="shared" si="5"/>
        <v>4.37</v>
      </c>
      <c r="O64" s="253">
        <f t="shared" si="5"/>
        <v>4.37</v>
      </c>
      <c r="P64" s="253">
        <f t="shared" si="5"/>
        <v>4.37</v>
      </c>
      <c r="Q64" s="253">
        <f t="shared" si="5"/>
        <v>4.37</v>
      </c>
      <c r="R64" s="253">
        <f t="shared" si="5"/>
        <v>4.37</v>
      </c>
      <c r="S64" s="253">
        <f t="shared" si="5"/>
        <v>4.37</v>
      </c>
      <c r="T64" s="253">
        <f t="shared" si="5"/>
        <v>4.37</v>
      </c>
      <c r="U64" s="253">
        <f t="shared" si="5"/>
        <v>4.37</v>
      </c>
      <c r="V64" s="253">
        <f t="shared" si="5"/>
        <v>4.37</v>
      </c>
      <c r="W64" s="253">
        <f t="shared" si="5"/>
        <v>4.37</v>
      </c>
      <c r="X64" s="253">
        <f t="shared" si="5"/>
        <v>4.37</v>
      </c>
      <c r="Y64" s="253">
        <f t="shared" si="5"/>
        <v>4.37</v>
      </c>
      <c r="Z64" s="253">
        <f t="shared" si="5"/>
        <v>4.37</v>
      </c>
      <c r="AA64" s="253">
        <f t="shared" si="5"/>
        <v>4.37</v>
      </c>
      <c r="AB64" s="253">
        <f t="shared" si="5"/>
        <v>4.37</v>
      </c>
      <c r="AC64" s="253">
        <f t="shared" si="5"/>
        <v>4.37</v>
      </c>
      <c r="AD64" s="253">
        <f t="shared" si="5"/>
        <v>4.37</v>
      </c>
      <c r="AE64" s="253">
        <f t="shared" si="5"/>
        <v>4.37</v>
      </c>
      <c r="AF64" s="253">
        <f t="shared" si="5"/>
        <v>4.37</v>
      </c>
      <c r="AG64" s="253">
        <f t="shared" si="5"/>
        <v>4.37</v>
      </c>
      <c r="AH64" s="253">
        <f t="shared" si="5"/>
        <v>4.37</v>
      </c>
      <c r="AI64" s="253">
        <f t="shared" si="5"/>
        <v>4.37</v>
      </c>
      <c r="AJ64" s="253">
        <f t="shared" si="5"/>
        <v>4.37</v>
      </c>
    </row>
    <row r="65" spans="2:36" ht="15" x14ac:dyDescent="0.2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</row>
    <row r="66" spans="2:36" ht="15" x14ac:dyDescent="0.25">
      <c r="B66" s="106" t="s">
        <v>11</v>
      </c>
      <c r="C66" s="24" t="s">
        <v>2</v>
      </c>
      <c r="D66" s="24" t="s">
        <v>2</v>
      </c>
      <c r="E66" s="25">
        <f>1/(1+$C$57)^E58</f>
        <v>1</v>
      </c>
      <c r="F66" s="25">
        <f t="shared" ref="F66:AJ66" si="6">1/(1+$C$57)^F58</f>
        <v>1</v>
      </c>
      <c r="G66" s="25">
        <f>1/(1+$C$57)^G58</f>
        <v>0.95238095238095233</v>
      </c>
      <c r="H66" s="25">
        <f t="shared" si="6"/>
        <v>0.90702947845804982</v>
      </c>
      <c r="I66" s="25">
        <f t="shared" si="6"/>
        <v>0.86383759853147601</v>
      </c>
      <c r="J66" s="25">
        <f t="shared" si="6"/>
        <v>0.82270247479188197</v>
      </c>
      <c r="K66" s="25">
        <f t="shared" si="6"/>
        <v>0.78352616646845896</v>
      </c>
      <c r="L66" s="25">
        <f t="shared" si="6"/>
        <v>0.74621539663662761</v>
      </c>
      <c r="M66" s="25">
        <f t="shared" si="6"/>
        <v>0.71068133013012147</v>
      </c>
      <c r="N66" s="25">
        <f t="shared" si="6"/>
        <v>0.67683936202868722</v>
      </c>
      <c r="O66" s="25">
        <f t="shared" si="6"/>
        <v>0.64460891621779726</v>
      </c>
      <c r="P66" s="25">
        <f t="shared" si="6"/>
        <v>0.61391325354075932</v>
      </c>
      <c r="Q66" s="25">
        <f t="shared" si="6"/>
        <v>0.5846792890864374</v>
      </c>
      <c r="R66" s="25">
        <f t="shared" si="6"/>
        <v>0.5568374181775595</v>
      </c>
      <c r="S66" s="25">
        <f t="shared" si="6"/>
        <v>0.53032135064529462</v>
      </c>
      <c r="T66" s="25">
        <f t="shared" si="6"/>
        <v>0.50506795299551888</v>
      </c>
      <c r="U66" s="25">
        <f t="shared" si="6"/>
        <v>0.48101709809097021</v>
      </c>
      <c r="V66" s="25">
        <f t="shared" si="6"/>
        <v>0.45811152199140021</v>
      </c>
      <c r="W66" s="25">
        <f t="shared" si="6"/>
        <v>0.43629668761085727</v>
      </c>
      <c r="X66" s="25">
        <f t="shared" si="6"/>
        <v>0.41552065486748313</v>
      </c>
      <c r="Y66" s="25">
        <f t="shared" si="6"/>
        <v>0.39573395701665059</v>
      </c>
      <c r="Z66" s="25">
        <f t="shared" si="6"/>
        <v>0.37688948287300061</v>
      </c>
      <c r="AA66" s="25">
        <f t="shared" si="6"/>
        <v>0.35894236464095297</v>
      </c>
      <c r="AB66" s="25">
        <f t="shared" si="6"/>
        <v>0.3418498710866219</v>
      </c>
      <c r="AC66" s="25">
        <f t="shared" si="6"/>
        <v>0.32557130579678267</v>
      </c>
      <c r="AD66" s="25">
        <f t="shared" si="6"/>
        <v>0.31006791028265024</v>
      </c>
      <c r="AE66" s="25">
        <f t="shared" si="6"/>
        <v>0.29530277169776209</v>
      </c>
      <c r="AF66" s="25">
        <f t="shared" si="6"/>
        <v>0.28124073495024959</v>
      </c>
      <c r="AG66" s="25">
        <f t="shared" si="6"/>
        <v>0.2678483190002377</v>
      </c>
      <c r="AH66" s="25">
        <f t="shared" si="6"/>
        <v>0.25509363714308358</v>
      </c>
      <c r="AI66" s="25">
        <f t="shared" si="6"/>
        <v>0.24294632108865097</v>
      </c>
      <c r="AJ66" s="25">
        <f t="shared" si="6"/>
        <v>0.23137744865585813</v>
      </c>
    </row>
  </sheetData>
  <mergeCells count="4">
    <mergeCell ref="B9:H9"/>
    <mergeCell ref="B12:H12"/>
    <mergeCell ref="B37:H37"/>
    <mergeCell ref="B7:H7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B1:AH54"/>
  <sheetViews>
    <sheetView zoomScale="84" zoomScaleNormal="84" workbookViewId="0">
      <selection activeCell="G49" sqref="G49"/>
    </sheetView>
  </sheetViews>
  <sheetFormatPr defaultRowHeight="15" x14ac:dyDescent="0.25"/>
  <cols>
    <col min="2" max="2" width="36.5703125" customWidth="1"/>
    <col min="3" max="3" width="15.42578125" customWidth="1"/>
    <col min="4" max="5" width="16" customWidth="1"/>
    <col min="6" max="6" width="14.42578125" customWidth="1"/>
    <col min="7" max="7" width="16.140625" customWidth="1"/>
    <col min="8" max="8" width="15.7109375" customWidth="1"/>
    <col min="9" max="9" width="16" customWidth="1"/>
    <col min="10" max="11" width="14.42578125" customWidth="1"/>
    <col min="12" max="12" width="14.85546875" customWidth="1"/>
    <col min="13" max="13" width="14.5703125" customWidth="1"/>
    <col min="14" max="14" width="14.7109375" customWidth="1"/>
    <col min="15" max="15" width="15.42578125" customWidth="1"/>
    <col min="16" max="16" width="14.5703125" customWidth="1"/>
    <col min="17" max="17" width="17" customWidth="1"/>
    <col min="18" max="18" width="17" bestFit="1" customWidth="1"/>
    <col min="19" max="21" width="17" customWidth="1"/>
    <col min="22" max="23" width="15.5703125" customWidth="1"/>
    <col min="24" max="24" width="16" customWidth="1"/>
    <col min="25" max="25" width="14.42578125" customWidth="1"/>
    <col min="26" max="27" width="14.5703125" customWidth="1"/>
    <col min="28" max="29" width="14.85546875" customWidth="1"/>
    <col min="30" max="30" width="15.5703125" customWidth="1"/>
    <col min="31" max="31" width="14.42578125" customWidth="1"/>
    <col min="32" max="32" width="16.42578125" customWidth="1"/>
    <col min="33" max="33" width="14.85546875" customWidth="1"/>
    <col min="34" max="34" width="15.7109375" customWidth="1"/>
  </cols>
  <sheetData>
    <row r="1" spans="2:34" s="30" customFormat="1" x14ac:dyDescent="0.25"/>
    <row r="2" spans="2:34" s="30" customFormat="1" hidden="1" x14ac:dyDescent="0.25"/>
    <row r="3" spans="2:34" s="30" customFormat="1" hidden="1" x14ac:dyDescent="0.25"/>
    <row r="4" spans="2:34" ht="15.75" thickBot="1" x14ac:dyDescent="0.3"/>
    <row r="5" spans="2:34" ht="15" customHeight="1" x14ac:dyDescent="0.25">
      <c r="B5" s="730" t="s">
        <v>531</v>
      </c>
      <c r="C5" s="735" t="s">
        <v>272</v>
      </c>
      <c r="D5" s="735">
        <v>2013</v>
      </c>
      <c r="E5" s="735">
        <f>D5+1</f>
        <v>2014</v>
      </c>
      <c r="F5" s="735">
        <f t="shared" ref="F5:AE5" si="0">E5+1</f>
        <v>2015</v>
      </c>
      <c r="G5" s="735">
        <f t="shared" si="0"/>
        <v>2016</v>
      </c>
      <c r="H5" s="735">
        <f t="shared" si="0"/>
        <v>2017</v>
      </c>
      <c r="I5" s="735">
        <f t="shared" si="0"/>
        <v>2018</v>
      </c>
      <c r="J5" s="735">
        <f t="shared" si="0"/>
        <v>2019</v>
      </c>
      <c r="K5" s="735">
        <f t="shared" si="0"/>
        <v>2020</v>
      </c>
      <c r="L5" s="735">
        <f t="shared" si="0"/>
        <v>2021</v>
      </c>
      <c r="M5" s="735">
        <f t="shared" si="0"/>
        <v>2022</v>
      </c>
      <c r="N5" s="735">
        <f t="shared" si="0"/>
        <v>2023</v>
      </c>
      <c r="O5" s="735">
        <f t="shared" si="0"/>
        <v>2024</v>
      </c>
      <c r="P5" s="735">
        <f t="shared" si="0"/>
        <v>2025</v>
      </c>
      <c r="Q5" s="735">
        <f t="shared" si="0"/>
        <v>2026</v>
      </c>
      <c r="R5" s="735">
        <f t="shared" si="0"/>
        <v>2027</v>
      </c>
      <c r="S5" s="735">
        <f t="shared" si="0"/>
        <v>2028</v>
      </c>
      <c r="T5" s="735">
        <f t="shared" si="0"/>
        <v>2029</v>
      </c>
      <c r="U5" s="735">
        <f t="shared" si="0"/>
        <v>2030</v>
      </c>
      <c r="V5" s="735">
        <f t="shared" si="0"/>
        <v>2031</v>
      </c>
      <c r="W5" s="735">
        <f t="shared" si="0"/>
        <v>2032</v>
      </c>
      <c r="X5" s="735">
        <f t="shared" si="0"/>
        <v>2033</v>
      </c>
      <c r="Y5" s="735">
        <f t="shared" si="0"/>
        <v>2034</v>
      </c>
      <c r="Z5" s="735">
        <f t="shared" si="0"/>
        <v>2035</v>
      </c>
      <c r="AA5" s="735">
        <f t="shared" si="0"/>
        <v>2036</v>
      </c>
      <c r="AB5" s="735">
        <f t="shared" si="0"/>
        <v>2037</v>
      </c>
      <c r="AC5" s="735">
        <f t="shared" si="0"/>
        <v>2038</v>
      </c>
      <c r="AD5" s="735">
        <f t="shared" si="0"/>
        <v>2039</v>
      </c>
      <c r="AE5" s="735">
        <f t="shared" si="0"/>
        <v>2040</v>
      </c>
      <c r="AF5" s="735">
        <f>AE5+1</f>
        <v>2041</v>
      </c>
      <c r="AG5" s="735">
        <f>AF5+1</f>
        <v>2042</v>
      </c>
      <c r="AH5" s="735">
        <f>AG5+1</f>
        <v>2043</v>
      </c>
    </row>
    <row r="6" spans="2:34" ht="15.75" customHeight="1" thickBot="1" x14ac:dyDescent="0.3">
      <c r="B6" s="737"/>
      <c r="C6" s="736"/>
      <c r="D6" s="736"/>
      <c r="E6" s="736"/>
      <c r="F6" s="736"/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</row>
    <row r="7" spans="2:34" ht="32.25" customHeight="1" thickBot="1" x14ac:dyDescent="0.3">
      <c r="B7" s="228" t="s">
        <v>275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</row>
    <row r="8" spans="2:34" x14ac:dyDescent="0.25">
      <c r="B8" s="31" t="s">
        <v>276</v>
      </c>
      <c r="C8" s="31" t="s">
        <v>316</v>
      </c>
      <c r="D8" s="200">
        <f>'Investitii-constante'!E6</f>
        <v>0</v>
      </c>
      <c r="E8" s="200">
        <f>'Investitii-constante'!F37</f>
        <v>1121049.0940000003</v>
      </c>
      <c r="F8" s="200">
        <f>'Investitii-constante'!G37</f>
        <v>1121049.0940000003</v>
      </c>
      <c r="G8" s="200">
        <f>'Investitii-constante'!H37</f>
        <v>1121049.0940000003</v>
      </c>
      <c r="H8" s="200">
        <f>'Investitii-constante'!I37</f>
        <v>1121049.0940000003</v>
      </c>
      <c r="I8" s="200">
        <f>'Investitii-constante'!J37</f>
        <v>1121049.0940000003</v>
      </c>
      <c r="J8" s="200">
        <f>'Investitii-constante'!K37</f>
        <v>1121049.0940000003</v>
      </c>
      <c r="K8" s="200">
        <f>'Investitii-constante'!L37</f>
        <v>1121049.0940000003</v>
      </c>
      <c r="L8" s="200">
        <f>'Investitii-constante'!M37</f>
        <v>26689133.457999993</v>
      </c>
      <c r="M8" s="200">
        <f>'Investitii-constante'!N37</f>
        <v>30950480.851999994</v>
      </c>
      <c r="N8" s="200">
        <f>'Investitii-constante'!O37</f>
        <v>30950480.851999994</v>
      </c>
      <c r="O8" s="200">
        <f>'Investitii-constante'!P37</f>
        <v>4813525.0975000001</v>
      </c>
      <c r="P8" s="200">
        <f>'Investitii-constante'!Q37</f>
        <v>4813525.0975000001</v>
      </c>
      <c r="Q8" s="200">
        <f>'Investitii-constante'!R37</f>
        <v>4813525.0975000001</v>
      </c>
      <c r="R8" s="200">
        <f>'Investitii-constante'!S37</f>
        <v>4813525.0975000001</v>
      </c>
      <c r="S8" s="200">
        <f>'Investitii-constante'!T37</f>
        <v>0</v>
      </c>
      <c r="T8" s="200">
        <f>'Investitii-constante'!U37</f>
        <v>0</v>
      </c>
      <c r="U8" s="200">
        <f>'Investitii-constante'!V37</f>
        <v>0</v>
      </c>
      <c r="V8" s="200">
        <f>'Investitii-constante'!W37</f>
        <v>0</v>
      </c>
      <c r="W8" s="200">
        <f>'Investitii-constante'!X37</f>
        <v>0</v>
      </c>
      <c r="X8" s="200">
        <f>'Investitii-constante'!Y37</f>
        <v>0</v>
      </c>
      <c r="Y8" s="200">
        <f>'Investitii-constante'!Z37</f>
        <v>0</v>
      </c>
      <c r="Z8" s="200">
        <f>'Investitii-constante'!AA37</f>
        <v>0</v>
      </c>
      <c r="AA8" s="200">
        <f>'Investitii-constante'!AB37</f>
        <v>0</v>
      </c>
      <c r="AB8" s="200">
        <f>'Investitii-constante'!AC37</f>
        <v>0</v>
      </c>
      <c r="AC8" s="200">
        <f>'Investitii-constante'!AD37</f>
        <v>0</v>
      </c>
      <c r="AD8" s="200">
        <f>'Investitii-constante'!AE37</f>
        <v>0</v>
      </c>
      <c r="AE8" s="200">
        <f>'Investitii-constante'!AF37</f>
        <v>0</v>
      </c>
      <c r="AF8" s="200">
        <f>'Investitii-constante'!AG37</f>
        <v>0</v>
      </c>
      <c r="AG8" s="200">
        <f>'Investitii-constante'!AH37</f>
        <v>0</v>
      </c>
      <c r="AH8" s="200">
        <f>'Investitii-constante'!AI37</f>
        <v>0</v>
      </c>
    </row>
    <row r="9" spans="2:34" x14ac:dyDescent="0.25">
      <c r="B9" s="31" t="s">
        <v>277</v>
      </c>
      <c r="C9" s="31" t="s">
        <v>316</v>
      </c>
      <c r="D9" s="200">
        <f>'Investitii-constante'!E43</f>
        <v>0</v>
      </c>
      <c r="E9" s="200">
        <f>'Investitii-constante'!F43</f>
        <v>0</v>
      </c>
      <c r="F9" s="200">
        <f>'Investitii-constante'!G43</f>
        <v>0</v>
      </c>
      <c r="G9" s="200">
        <f>'Investitii-constante'!H43</f>
        <v>0</v>
      </c>
      <c r="H9" s="200">
        <f>'Investitii-constante'!I43</f>
        <v>0</v>
      </c>
      <c r="I9" s="200">
        <f>'Investitii-constante'!J43</f>
        <v>0</v>
      </c>
      <c r="J9" s="200">
        <f>'Investitii-constante'!K43</f>
        <v>0</v>
      </c>
      <c r="K9" s="200">
        <f>'Investitii-constante'!L43</f>
        <v>0</v>
      </c>
      <c r="L9" s="200">
        <f>'Investitii-constante'!M43</f>
        <v>45944.635000000009</v>
      </c>
      <c r="M9" s="200">
        <f>'Investitii-constante'!N43</f>
        <v>45944.635000000009</v>
      </c>
      <c r="N9" s="200">
        <f>'Investitii-constante'!O43</f>
        <v>45944.635000000009</v>
      </c>
      <c r="O9" s="200">
        <f>'Investitii-constante'!P43</f>
        <v>45944.635000000009</v>
      </c>
      <c r="P9" s="200">
        <f>'Investitii-constante'!Q43</f>
        <v>45944.635000000009</v>
      </c>
      <c r="Q9" s="200">
        <f>'Investitii-constante'!R43</f>
        <v>45944.635000000009</v>
      </c>
      <c r="R9" s="200">
        <f>'Investitii-constante'!S43</f>
        <v>45944.635000000009</v>
      </c>
      <c r="S9" s="200">
        <f>'Investitii-constante'!T43</f>
        <v>1093816.9450000001</v>
      </c>
      <c r="T9" s="200">
        <f>'Investitii-constante'!U43</f>
        <v>1268462.33</v>
      </c>
      <c r="U9" s="200">
        <f>'Investitii-constante'!V43</f>
        <v>1268462.33</v>
      </c>
      <c r="V9" s="200">
        <f>'Investitii-constante'!W43</f>
        <v>197275.61875000002</v>
      </c>
      <c r="W9" s="200">
        <f>'Investitii-constante'!X43</f>
        <v>197275.61875000002</v>
      </c>
      <c r="X9" s="200">
        <f>'Investitii-constante'!Y43</f>
        <v>197275.61875000002</v>
      </c>
      <c r="Y9" s="200">
        <f>'Investitii-constante'!Z43</f>
        <v>197275.61875000002</v>
      </c>
      <c r="Z9" s="200">
        <f>'Investitii-constante'!AA43</f>
        <v>0</v>
      </c>
      <c r="AA9" s="200">
        <f>'Investitii-constante'!AB43</f>
        <v>0</v>
      </c>
      <c r="AB9" s="200">
        <f>'Investitii-constante'!AC43</f>
        <v>0</v>
      </c>
      <c r="AC9" s="200">
        <f>'Investitii-constante'!AD43</f>
        <v>0</v>
      </c>
      <c r="AD9" s="200">
        <f>'Investitii-constante'!AE43</f>
        <v>0</v>
      </c>
      <c r="AE9" s="200">
        <f>'Investitii-constante'!AF43</f>
        <v>0</v>
      </c>
      <c r="AF9" s="200">
        <f>'Investitii-constante'!AG43</f>
        <v>0</v>
      </c>
      <c r="AG9" s="200">
        <f>'Investitii-constante'!AH43</f>
        <v>0</v>
      </c>
      <c r="AH9" s="200">
        <f>'Investitii-constante'!AI43</f>
        <v>0</v>
      </c>
    </row>
    <row r="10" spans="2:34" x14ac:dyDescent="0.25">
      <c r="B10" s="31" t="s">
        <v>278</v>
      </c>
      <c r="C10" s="31" t="s">
        <v>316</v>
      </c>
      <c r="D10" s="200" t="str">
        <f>'O&amp;M costs '!F28</f>
        <v xml:space="preserve"> </v>
      </c>
      <c r="E10" s="200">
        <f>'O&amp;M costs '!G28</f>
        <v>3301902.5424347646</v>
      </c>
      <c r="F10" s="200">
        <f>'O&amp;M costs '!H28</f>
        <v>3522951.3550513587</v>
      </c>
      <c r="G10" s="200">
        <f>'O&amp;M costs '!I28</f>
        <v>3396322.2713622306</v>
      </c>
      <c r="H10" s="200">
        <f>'O&amp;M costs '!J28</f>
        <v>3743904.9358259607</v>
      </c>
      <c r="I10" s="200">
        <f>'O&amp;M costs '!K28</f>
        <v>3914953.9401335018</v>
      </c>
      <c r="J10" s="200">
        <f>'O&amp;M costs '!L28</f>
        <v>4254435.5891929008</v>
      </c>
      <c r="K10" s="200">
        <f>'O&amp;M costs '!M28</f>
        <v>4438194.2019323949</v>
      </c>
      <c r="L10" s="200">
        <f>'O&amp;M costs '!N28</f>
        <v>5429385.1882043332</v>
      </c>
      <c r="M10" s="200">
        <f>'O&amp;M costs '!O28</f>
        <v>5752175.9316956215</v>
      </c>
      <c r="N10" s="200">
        <f>'O&amp;M costs '!P28</f>
        <v>5951387.3299787864</v>
      </c>
      <c r="O10" s="200">
        <f>'O&amp;M costs '!Q28</f>
        <v>5837518.934520741</v>
      </c>
      <c r="P10" s="200">
        <f>'O&amp;M costs '!R28</f>
        <v>5931054.272857138</v>
      </c>
      <c r="Q10" s="200">
        <f>'O&amp;M costs '!S28</f>
        <v>6026248.7210876448</v>
      </c>
      <c r="R10" s="200">
        <f>'O&amp;M costs '!T28</f>
        <v>6123133.4535030145</v>
      </c>
      <c r="S10" s="200">
        <f>'O&amp;M costs '!U28</f>
        <v>6221740.2489166902</v>
      </c>
      <c r="T10" s="200">
        <f>'O&amp;M costs '!V28</f>
        <v>6322101.502635899</v>
      </c>
      <c r="U10" s="200">
        <f>'O&amp;M costs '!W28</f>
        <v>6424250.2386741666</v>
      </c>
      <c r="V10" s="200">
        <f>'O&amp;M costs '!X28</f>
        <v>6531317.5769390864</v>
      </c>
      <c r="W10" s="200">
        <f>'O&amp;M costs '!Y28</f>
        <v>6629001.1307107601</v>
      </c>
      <c r="X10" s="200">
        <f>'O&amp;M costs '!Z28</f>
        <v>6728405.6648699986</v>
      </c>
      <c r="Y10" s="200">
        <f>'O&amp;M costs '!AA28</f>
        <v>6829563.5246581016</v>
      </c>
      <c r="Z10" s="200">
        <f>'O&amp;M costs '!AB28</f>
        <v>6932507.6877059396</v>
      </c>
      <c r="AA10" s="200">
        <f>'O&amp;M costs '!AC28</f>
        <v>7037271.7767327623</v>
      </c>
      <c r="AB10" s="200">
        <f>'O&amp;M costs '!AD28</f>
        <v>7143890.0725054638</v>
      </c>
      <c r="AC10" s="200">
        <f>'O&amp;M costs '!AE28</f>
        <v>7252397.5270636044</v>
      </c>
      <c r="AD10" s="200">
        <f>'O&amp;M costs '!AF28</f>
        <v>7362829.7772158841</v>
      </c>
      <c r="AE10" s="200">
        <f>'O&amp;M costs '!AG28</f>
        <v>7475223.1583136329</v>
      </c>
      <c r="AF10" s="200">
        <f>'O&amp;M costs '!AH28</f>
        <v>7597793.5221093101</v>
      </c>
      <c r="AG10" s="200">
        <f>'O&amp;M costs '!AI28</f>
        <v>7722679.8011510093</v>
      </c>
      <c r="AH10" s="200">
        <f>'O&amp;M costs '!AJ28</f>
        <v>0</v>
      </c>
    </row>
    <row r="11" spans="2:34" x14ac:dyDescent="0.25">
      <c r="B11" s="96" t="s">
        <v>279</v>
      </c>
      <c r="C11" s="31" t="s">
        <v>316</v>
      </c>
      <c r="D11" s="200">
        <f>SUM(D8:D10)</f>
        <v>0</v>
      </c>
      <c r="E11" s="200">
        <f t="shared" ref="E11:AF11" si="1">SUM(E8:E10)</f>
        <v>4422951.6364347646</v>
      </c>
      <c r="F11" s="200">
        <f t="shared" si="1"/>
        <v>4644000.4490513587</v>
      </c>
      <c r="G11" s="200">
        <f t="shared" si="1"/>
        <v>4517371.3653622307</v>
      </c>
      <c r="H11" s="200">
        <f t="shared" si="1"/>
        <v>4864954.0298259612</v>
      </c>
      <c r="I11" s="200">
        <f t="shared" si="1"/>
        <v>5036003.0341335023</v>
      </c>
      <c r="J11" s="200">
        <f t="shared" si="1"/>
        <v>5375484.6831929013</v>
      </c>
      <c r="K11" s="200">
        <f t="shared" si="1"/>
        <v>5559243.2959323954</v>
      </c>
      <c r="L11" s="200">
        <f t="shared" si="1"/>
        <v>32164463.281204328</v>
      </c>
      <c r="M11" s="200">
        <f t="shared" si="1"/>
        <v>36748601.418695614</v>
      </c>
      <c r="N11" s="200">
        <f t="shared" si="1"/>
        <v>36947812.816978782</v>
      </c>
      <c r="O11" s="200">
        <f t="shared" si="1"/>
        <v>10696988.667020742</v>
      </c>
      <c r="P11" s="200">
        <f t="shared" si="1"/>
        <v>10790524.005357139</v>
      </c>
      <c r="Q11" s="200">
        <f t="shared" si="1"/>
        <v>10885718.453587644</v>
      </c>
      <c r="R11" s="200">
        <f t="shared" si="1"/>
        <v>10982603.186003014</v>
      </c>
      <c r="S11" s="200">
        <f t="shared" si="1"/>
        <v>7315557.1939166905</v>
      </c>
      <c r="T11" s="200">
        <f t="shared" si="1"/>
        <v>7590563.8326358991</v>
      </c>
      <c r="U11" s="200">
        <f t="shared" si="1"/>
        <v>7692712.5686741667</v>
      </c>
      <c r="V11" s="200">
        <f t="shared" si="1"/>
        <v>6728593.1956890868</v>
      </c>
      <c r="W11" s="200">
        <f t="shared" si="1"/>
        <v>6826276.7494607605</v>
      </c>
      <c r="X11" s="200">
        <f t="shared" si="1"/>
        <v>6925681.283619999</v>
      </c>
      <c r="Y11" s="200">
        <f t="shared" si="1"/>
        <v>7026839.143408102</v>
      </c>
      <c r="Z11" s="200">
        <f>SUM(Z8:Z10)</f>
        <v>6932507.6877059396</v>
      </c>
      <c r="AA11" s="200">
        <f t="shared" si="1"/>
        <v>7037271.7767327623</v>
      </c>
      <c r="AB11" s="200">
        <f t="shared" si="1"/>
        <v>7143890.0725054638</v>
      </c>
      <c r="AC11" s="200">
        <f t="shared" si="1"/>
        <v>7252397.5270636044</v>
      </c>
      <c r="AD11" s="200">
        <f t="shared" si="1"/>
        <v>7362829.7772158841</v>
      </c>
      <c r="AE11" s="200">
        <f t="shared" si="1"/>
        <v>7475223.1583136329</v>
      </c>
      <c r="AF11" s="200">
        <f t="shared" si="1"/>
        <v>7597793.5221093101</v>
      </c>
      <c r="AG11" s="200">
        <f t="shared" ref="AG11" si="2">SUM(AG8:AG10)</f>
        <v>7722679.8011510093</v>
      </c>
      <c r="AH11" s="200">
        <f>SUM(AH8:AI10)</f>
        <v>0</v>
      </c>
    </row>
    <row r="12" spans="2:34" x14ac:dyDescent="0.25">
      <c r="B12" s="31" t="s">
        <v>280</v>
      </c>
      <c r="C12" s="31" t="s">
        <v>273</v>
      </c>
      <c r="D12" s="200">
        <v>4840129</v>
      </c>
      <c r="E12" s="200">
        <f>'O&amp;M costs '!G33</f>
        <v>4735855</v>
      </c>
      <c r="F12" s="200">
        <f>'O&amp;M costs '!H33</f>
        <v>4713648</v>
      </c>
      <c r="G12" s="200">
        <f>'O&amp;M costs '!I33</f>
        <v>4564850</v>
      </c>
      <c r="H12" s="200">
        <f>'O&amp;M costs '!J33</f>
        <v>4698315</v>
      </c>
      <c r="I12" s="200">
        <f>'O&amp;M costs '!K33</f>
        <v>4620248</v>
      </c>
      <c r="J12" s="200">
        <f>'prognoze cantitati'!M243</f>
        <v>4929625.552303127</v>
      </c>
      <c r="K12" s="200">
        <f>'prognoze cantitati'!N243</f>
        <v>5219792.0163761294</v>
      </c>
      <c r="L12" s="200">
        <f>'prognoze cantitati'!O243</f>
        <v>5513613.084572887</v>
      </c>
      <c r="M12" s="200">
        <f>'prognoze cantitati'!P243</f>
        <v>5803683.1943154987</v>
      </c>
      <c r="N12" s="200">
        <f>'prognoze cantitati'!Q243</f>
        <v>6089251.8061192278</v>
      </c>
      <c r="O12" s="200">
        <f>'prognoze cantitati'!R243</f>
        <v>8496035.8000984676</v>
      </c>
      <c r="P12" s="200">
        <f>'prognoze cantitati'!S243</f>
        <v>8498313.8453109078</v>
      </c>
      <c r="Q12" s="200">
        <f>'prognoze cantitati'!T243</f>
        <v>8500245.6113310102</v>
      </c>
      <c r="R12" s="200">
        <f>'prognoze cantitati'!U243</f>
        <v>8501835.678492289</v>
      </c>
      <c r="S12" s="200">
        <f>'prognoze cantitati'!V243</f>
        <v>8503088.581007747</v>
      </c>
      <c r="T12" s="200">
        <f>'prognoze cantitati'!W243</f>
        <v>8504008.8073842153</v>
      </c>
      <c r="U12" s="200">
        <f>'prognoze cantitati'!X243</f>
        <v>8504600.8008332457</v>
      </c>
      <c r="V12" s="200">
        <f>'prognoze cantitati'!Y243</f>
        <v>8512507.7520661373</v>
      </c>
      <c r="W12" s="200">
        <f>'prognoze cantitati'!Z243</f>
        <v>8492604.1519602295</v>
      </c>
      <c r="X12" s="200">
        <f>'prognoze cantitati'!AA243</f>
        <v>8472704.2569291797</v>
      </c>
      <c r="Y12" s="200">
        <f>'prognoze cantitati'!AB243</f>
        <v>8452808.6637744606</v>
      </c>
      <c r="Z12" s="200">
        <f>'prognoze cantitati'!AC243</f>
        <v>8432917.9624167234</v>
      </c>
      <c r="AA12" s="200">
        <f>'prognoze cantitati'!AD243</f>
        <v>8413032.7359545697</v>
      </c>
      <c r="AB12" s="200">
        <f>'prognoze cantitati'!AE243</f>
        <v>8393153.5607229695</v>
      </c>
      <c r="AC12" s="200">
        <f>'prognoze cantitati'!AF243</f>
        <v>8373281.0063511413</v>
      </c>
      <c r="AD12" s="200">
        <f>'prognoze cantitati'!AG243</f>
        <v>8353415.6358200442</v>
      </c>
      <c r="AE12" s="200">
        <f>'prognoze cantitati'!AH243</f>
        <v>8333558.0055194236</v>
      </c>
      <c r="AF12" s="200">
        <f>'prognoze cantitati'!AI243</f>
        <v>8330468.8372707926</v>
      </c>
      <c r="AG12" s="200">
        <f>'prognoze cantitati'!AJ243</f>
        <v>8327331.1482900921</v>
      </c>
      <c r="AH12" s="200">
        <f>'prognoze cantitati'!AK243</f>
        <v>8324145.278688468</v>
      </c>
    </row>
    <row r="13" spans="2:34" x14ac:dyDescent="0.25">
      <c r="B13" s="31" t="s">
        <v>317</v>
      </c>
      <c r="C13" s="31" t="s">
        <v>288</v>
      </c>
      <c r="D13" s="201">
        <f>D11/D12</f>
        <v>0</v>
      </c>
      <c r="E13" s="201">
        <f>E11/E12</f>
        <v>0.93392885475479392</v>
      </c>
      <c r="F13" s="201">
        <f>F11/F12</f>
        <v>0.98522427831933113</v>
      </c>
      <c r="G13" s="201">
        <f t="shared" ref="G13:AF13" si="3">G11/G12</f>
        <v>0.98959908110063433</v>
      </c>
      <c r="H13" s="201">
        <f t="shared" si="3"/>
        <v>1.035467828322699</v>
      </c>
      <c r="I13" s="201">
        <f t="shared" si="3"/>
        <v>1.0899854367413833</v>
      </c>
      <c r="J13" s="201">
        <f t="shared" si="3"/>
        <v>1.0904448271292062</v>
      </c>
      <c r="K13" s="201">
        <f t="shared" si="3"/>
        <v>1.0650315718502386</v>
      </c>
      <c r="L13" s="201">
        <f t="shared" si="3"/>
        <v>5.8336453406933169</v>
      </c>
      <c r="M13" s="201">
        <f t="shared" si="3"/>
        <v>6.3319447647813654</v>
      </c>
      <c r="N13" s="201">
        <f t="shared" si="3"/>
        <v>6.0677097931553901</v>
      </c>
      <c r="O13" s="201">
        <f t="shared" si="3"/>
        <v>1.2590564492320955</v>
      </c>
      <c r="P13" s="201">
        <f t="shared" si="3"/>
        <v>1.2697252892479369</v>
      </c>
      <c r="Q13" s="201">
        <f t="shared" si="3"/>
        <v>1.2806357546982816</v>
      </c>
      <c r="R13" s="201">
        <f t="shared" si="3"/>
        <v>1.2917919848517543</v>
      </c>
      <c r="S13" s="201">
        <f t="shared" si="3"/>
        <v>0.86034117182508341</v>
      </c>
      <c r="T13" s="201">
        <f t="shared" si="3"/>
        <v>0.89258654413020455</v>
      </c>
      <c r="U13" s="201">
        <f t="shared" si="3"/>
        <v>0.90453540957742151</v>
      </c>
      <c r="V13" s="201">
        <f t="shared" si="3"/>
        <v>0.79043607261983839</v>
      </c>
      <c r="W13" s="201">
        <f t="shared" si="3"/>
        <v>0.80379076044479791</v>
      </c>
      <c r="X13" s="201">
        <f t="shared" si="3"/>
        <v>0.81741095565279664</v>
      </c>
      <c r="Y13" s="201">
        <f t="shared" si="3"/>
        <v>0.83130228340817358</v>
      </c>
      <c r="Z13" s="201">
        <f t="shared" si="3"/>
        <v>0.82207697485049491</v>
      </c>
      <c r="AA13" s="201">
        <f t="shared" si="3"/>
        <v>0.83647264875812832</v>
      </c>
      <c r="AB13" s="201">
        <f t="shared" si="3"/>
        <v>0.85115684120643009</v>
      </c>
      <c r="AC13" s="201">
        <f t="shared" si="3"/>
        <v>0.86613569060475271</v>
      </c>
      <c r="AD13" s="201">
        <f t="shared" si="3"/>
        <v>0.88141547101326345</v>
      </c>
      <c r="AE13" s="201">
        <f t="shared" si="3"/>
        <v>0.89700259521355652</v>
      </c>
      <c r="AF13" s="201">
        <f t="shared" si="3"/>
        <v>0.91204872985257823</v>
      </c>
      <c r="AG13" s="201">
        <f t="shared" ref="AG13:AH13" si="4">AG11/AG12</f>
        <v>0.92738953977310723</v>
      </c>
      <c r="AH13" s="201">
        <f t="shared" si="4"/>
        <v>0</v>
      </c>
    </row>
    <row r="14" spans="2:34" ht="15.75" thickBot="1" x14ac:dyDescent="0.3">
      <c r="B14" s="31"/>
      <c r="C14" s="31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</row>
    <row r="15" spans="2:34" ht="15.75" hidden="1" thickBot="1" x14ac:dyDescent="0.3">
      <c r="B15" s="31"/>
      <c r="C15" s="31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</row>
    <row r="16" spans="2:34" ht="15.75" thickBot="1" x14ac:dyDescent="0.3">
      <c r="B16" s="508" t="s">
        <v>281</v>
      </c>
      <c r="C16" s="31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</row>
    <row r="17" spans="2:34" x14ac:dyDescent="0.25">
      <c r="B17" s="31" t="s">
        <v>276</v>
      </c>
      <c r="C17" s="31" t="s">
        <v>316</v>
      </c>
      <c r="D17" s="200">
        <f>'Investitii-constante'!E7</f>
        <v>0</v>
      </c>
      <c r="E17" s="200">
        <f>'Investitii-constante'!F38</f>
        <v>4235603.0760000004</v>
      </c>
      <c r="F17" s="200">
        <f>'Investitii-constante'!G38</f>
        <v>4235603.0760000004</v>
      </c>
      <c r="G17" s="200">
        <f>'Investitii-constante'!H38</f>
        <v>4235603.0760000004</v>
      </c>
      <c r="H17" s="200">
        <f>'Investitii-constante'!I38</f>
        <v>4235603.0760000004</v>
      </c>
      <c r="I17" s="200">
        <f>'Investitii-constante'!J38</f>
        <v>4235603.0760000004</v>
      </c>
      <c r="J17" s="200">
        <f>'Investitii-constante'!K38</f>
        <v>4235603.0760000004</v>
      </c>
      <c r="K17" s="200">
        <f>'Investitii-constante'!L38</f>
        <v>4235603.0760000004</v>
      </c>
      <c r="L17" s="200">
        <f>'Investitii-constante'!M38</f>
        <v>16006877.508000003</v>
      </c>
      <c r="M17" s="200">
        <f>'Investitii-constante'!N38</f>
        <v>17968756.580000002</v>
      </c>
      <c r="N17" s="200">
        <f>'Investitii-constante'!O38</f>
        <v>17968756.580000002</v>
      </c>
      <c r="O17" s="200">
        <f>'Investitii-constante'!P38</f>
        <v>27327186.259999994</v>
      </c>
      <c r="P17" s="200">
        <f>'Investitii-constante'!Q38</f>
        <v>27327186.259999994</v>
      </c>
      <c r="Q17" s="200">
        <f>'Investitii-constante'!R38</f>
        <v>27327186.259999994</v>
      </c>
      <c r="R17" s="200">
        <f>'Investitii-constante'!S38</f>
        <v>27327186.259999994</v>
      </c>
      <c r="S17" s="200">
        <f>'Investitii-constante'!T38</f>
        <v>370200.2857142858</v>
      </c>
      <c r="T17" s="200">
        <f>'Investitii-constante'!U38</f>
        <v>370200.2857142858</v>
      </c>
      <c r="U17" s="200">
        <f>'Investitii-constante'!V38</f>
        <v>370200.2857142858</v>
      </c>
      <c r="V17" s="200">
        <f>'Investitii-constante'!W38</f>
        <v>370200.2857142858</v>
      </c>
      <c r="W17" s="200">
        <f>'Investitii-constante'!X38</f>
        <v>370200.2857142858</v>
      </c>
      <c r="X17" s="200">
        <f>'Investitii-constante'!Y38</f>
        <v>370200.2857142858</v>
      </c>
      <c r="Y17" s="200">
        <f>'Investitii-constante'!Z38</f>
        <v>370200.2857142858</v>
      </c>
      <c r="Z17" s="200">
        <f>'Investitii-constante'!AA38</f>
        <v>0</v>
      </c>
      <c r="AA17" s="200">
        <f>'Investitii-constante'!AB38</f>
        <v>0</v>
      </c>
      <c r="AB17" s="200">
        <f>'Investitii-constante'!AC38</f>
        <v>0</v>
      </c>
      <c r="AC17" s="200">
        <f>'Investitii-constante'!AD38</f>
        <v>0</v>
      </c>
      <c r="AD17" s="200">
        <f>'Investitii-constante'!AE38</f>
        <v>0</v>
      </c>
      <c r="AE17" s="200">
        <f>'Investitii-constante'!AF38</f>
        <v>0</v>
      </c>
      <c r="AF17" s="200">
        <f>'Investitii-constante'!AG38</f>
        <v>0</v>
      </c>
      <c r="AG17" s="200">
        <f>'Investitii-constante'!AH38</f>
        <v>0</v>
      </c>
      <c r="AH17" s="200">
        <f>'Investitii-constante'!AI38</f>
        <v>0</v>
      </c>
    </row>
    <row r="18" spans="2:34" x14ac:dyDescent="0.25">
      <c r="B18" s="31" t="s">
        <v>277</v>
      </c>
      <c r="C18" s="31" t="s">
        <v>316</v>
      </c>
      <c r="D18" s="200">
        <f>'Investitii-constante'!E44</f>
        <v>0</v>
      </c>
      <c r="E18" s="200">
        <f>'Investitii-constante'!F44</f>
        <v>0</v>
      </c>
      <c r="F18" s="200">
        <f>'Investitii-constante'!G44</f>
        <v>0</v>
      </c>
      <c r="G18" s="200">
        <f>'Investitii-constante'!H44</f>
        <v>0</v>
      </c>
      <c r="H18" s="200">
        <f>'Investitii-constante'!I44</f>
        <v>0</v>
      </c>
      <c r="I18" s="200">
        <f>'Investitii-constante'!J44</f>
        <v>0</v>
      </c>
      <c r="J18" s="200">
        <f>'Investitii-constante'!K44</f>
        <v>0</v>
      </c>
      <c r="K18" s="200">
        <f>'Investitii-constante'!L44</f>
        <v>0</v>
      </c>
      <c r="L18" s="200">
        <f>'Investitii-constante'!M44</f>
        <v>173590.29000000004</v>
      </c>
      <c r="M18" s="200">
        <f>'Investitii-constante'!N44</f>
        <v>173590.29000000004</v>
      </c>
      <c r="N18" s="200">
        <f>'Investitii-constante'!O44</f>
        <v>173590.29000000004</v>
      </c>
      <c r="O18" s="200">
        <f>'Investitii-constante'!P44</f>
        <v>173590.29000000004</v>
      </c>
      <c r="P18" s="200">
        <f>'Investitii-constante'!Q44</f>
        <v>173590.29000000004</v>
      </c>
      <c r="Q18" s="200">
        <f>'Investitii-constante'!R44</f>
        <v>173590.29000000004</v>
      </c>
      <c r="R18" s="200">
        <f>'Investitii-constante'!S44</f>
        <v>173590.29000000004</v>
      </c>
      <c r="S18" s="200">
        <f>'Investitii-constante'!T44</f>
        <v>656019.57000000007</v>
      </c>
      <c r="T18" s="200">
        <f>'Investitii-constante'!U44</f>
        <v>736424.45000000007</v>
      </c>
      <c r="U18" s="200">
        <f>'Investitii-constante'!V44</f>
        <v>736424.45000000007</v>
      </c>
      <c r="V18" s="200">
        <f>'Investitii-constante'!W44</f>
        <v>1119966.6500000001</v>
      </c>
      <c r="W18" s="200">
        <f>'Investitii-constante'!X44</f>
        <v>1119966.6500000001</v>
      </c>
      <c r="X18" s="200">
        <f>'Investitii-constante'!Y44</f>
        <v>1119966.6500000001</v>
      </c>
      <c r="Y18" s="200">
        <f>'Investitii-constante'!Z44</f>
        <v>1119966.6500000001</v>
      </c>
      <c r="Z18" s="200">
        <f>'Investitii-constante'!AA44</f>
        <v>15172.142857142859</v>
      </c>
      <c r="AA18" s="200">
        <f>'Investitii-constante'!AB44</f>
        <v>15172.142857142859</v>
      </c>
      <c r="AB18" s="200">
        <f>'Investitii-constante'!AC44</f>
        <v>15172.142857142859</v>
      </c>
      <c r="AC18" s="200">
        <f>'Investitii-constante'!AD44</f>
        <v>15172.142857142859</v>
      </c>
      <c r="AD18" s="200">
        <f>'Investitii-constante'!AE44</f>
        <v>15172.142857142859</v>
      </c>
      <c r="AE18" s="200">
        <f>'Investitii-constante'!AF44</f>
        <v>15172.142857142859</v>
      </c>
      <c r="AF18" s="200">
        <f>'Investitii-constante'!AG44</f>
        <v>15172.142857142859</v>
      </c>
      <c r="AG18" s="200">
        <f>'Investitii-constante'!AH44</f>
        <v>15172.142857142859</v>
      </c>
      <c r="AH18" s="200">
        <f>'Investitii-constante'!AI44</f>
        <v>15172.142857142859</v>
      </c>
    </row>
    <row r="19" spans="2:34" x14ac:dyDescent="0.25">
      <c r="B19" s="31" t="s">
        <v>278</v>
      </c>
      <c r="C19" s="31" t="s">
        <v>316</v>
      </c>
      <c r="D19" s="200">
        <f>'O&amp;M costs '!F53</f>
        <v>0</v>
      </c>
      <c r="E19" s="200">
        <f>'O&amp;M costs '!G53</f>
        <v>2602805.8445517649</v>
      </c>
      <c r="F19" s="200">
        <f>'O&amp;M costs '!H53</f>
        <v>2228365.2550564865</v>
      </c>
      <c r="G19" s="200">
        <f>'O&amp;M costs '!I53</f>
        <v>2203408.0222745459</v>
      </c>
      <c r="H19" s="200">
        <f>'O&amp;M costs '!J53</f>
        <v>2200626.089109086</v>
      </c>
      <c r="I19" s="200">
        <f>'O&amp;M costs '!K53</f>
        <v>2544185.1855701553</v>
      </c>
      <c r="J19" s="200">
        <f>'O&amp;M costs '!L53</f>
        <v>2464821.8803821914</v>
      </c>
      <c r="K19" s="200">
        <f>'O&amp;M costs '!M53</f>
        <v>2582430.6783307502</v>
      </c>
      <c r="L19" s="200">
        <f>'O&amp;M costs '!N53</f>
        <v>3187791.0684442758</v>
      </c>
      <c r="M19" s="200">
        <f>'O&amp;M costs '!O53</f>
        <v>3377703.0732252114</v>
      </c>
      <c r="N19" s="200">
        <f>'O&amp;M costs '!P53</f>
        <v>3514983.3105942118</v>
      </c>
      <c r="O19" s="200">
        <f>'O&amp;M costs '!Q53</f>
        <v>5413679.6355911344</v>
      </c>
      <c r="P19" s="200">
        <f>'O&amp;M costs '!R53</f>
        <v>5524191.2590871286</v>
      </c>
      <c r="Q19" s="200">
        <f>'O&amp;M costs '!S53</f>
        <v>5642646.0177661479</v>
      </c>
      <c r="R19" s="200">
        <f>'O&amp;M costs '!T53</f>
        <v>5770629.7171100331</v>
      </c>
      <c r="S19" s="200">
        <f>'O&amp;M costs '!U53</f>
        <v>5101480.0246859975</v>
      </c>
      <c r="T19" s="200">
        <f>'O&amp;M costs '!V53</f>
        <v>5255275.0253804801</v>
      </c>
      <c r="U19" s="200">
        <f>'O&amp;M costs '!W53</f>
        <v>5426780.5257696714</v>
      </c>
      <c r="V19" s="200">
        <f>'O&amp;M costs '!X53</f>
        <v>5623911.2774584852</v>
      </c>
      <c r="W19" s="200">
        <f>'O&amp;M costs '!Y53</f>
        <v>5837245.3072462184</v>
      </c>
      <c r="X19" s="200">
        <f>'O&amp;M costs '!Z53</f>
        <v>6086783.5363613786</v>
      </c>
      <c r="Y19" s="200">
        <f>'O&amp;M costs '!AA53</f>
        <v>6383375.1187911192</v>
      </c>
      <c r="Z19" s="200">
        <f>'O&amp;M costs '!AB53</f>
        <v>6741699.981364538</v>
      </c>
      <c r="AA19" s="200">
        <f>'O&amp;M costs '!AC53</f>
        <v>7181765.490799698</v>
      </c>
      <c r="AB19" s="200">
        <f>'O&amp;M costs '!AD53</f>
        <v>7731040.1444399627</v>
      </c>
      <c r="AC19" s="200">
        <f>'O&amp;M costs '!AE53</f>
        <v>8427516.428703947</v>
      </c>
      <c r="AD19" s="200">
        <f>'O&amp;M costs '!AF53</f>
        <v>9324138.2424954455</v>
      </c>
      <c r="AE19" s="200">
        <f>'O&amp;M costs '!AG53</f>
        <v>10495246.178408548</v>
      </c>
      <c r="AF19" s="200">
        <f>'O&amp;M costs '!AH53</f>
        <v>12055011.352194585</v>
      </c>
      <c r="AG19" s="200">
        <f>'O&amp;M costs '!AI53</f>
        <v>14144779.331068469</v>
      </c>
      <c r="AH19" s="200">
        <f>'O&amp;M costs '!AJ53</f>
        <v>0</v>
      </c>
    </row>
    <row r="20" spans="2:34" x14ac:dyDescent="0.25">
      <c r="B20" s="96" t="s">
        <v>279</v>
      </c>
      <c r="C20" s="31" t="s">
        <v>316</v>
      </c>
      <c r="D20" s="200">
        <f>SUM(D17:D19)</f>
        <v>0</v>
      </c>
      <c r="E20" s="200">
        <f t="shared" ref="E20:AF20" si="5">SUM(E17:E19)</f>
        <v>6838408.9205517657</v>
      </c>
      <c r="F20" s="200">
        <f t="shared" si="5"/>
        <v>6463968.3310564868</v>
      </c>
      <c r="G20" s="200">
        <f t="shared" si="5"/>
        <v>6439011.0982745457</v>
      </c>
      <c r="H20" s="200">
        <f t="shared" si="5"/>
        <v>6436229.1651090868</v>
      </c>
      <c r="I20" s="200">
        <f t="shared" si="5"/>
        <v>6779788.2615701556</v>
      </c>
      <c r="J20" s="200">
        <f t="shared" si="5"/>
        <v>6700424.9563821917</v>
      </c>
      <c r="K20" s="200">
        <f t="shared" si="5"/>
        <v>6818033.7543307506</v>
      </c>
      <c r="L20" s="200">
        <f t="shared" si="5"/>
        <v>19368258.866444279</v>
      </c>
      <c r="M20" s="200">
        <f t="shared" si="5"/>
        <v>21520049.943225212</v>
      </c>
      <c r="N20" s="200">
        <f t="shared" si="5"/>
        <v>21657330.180594213</v>
      </c>
      <c r="O20" s="200">
        <f t="shared" si="5"/>
        <v>32914456.185591128</v>
      </c>
      <c r="P20" s="200">
        <f t="shared" si="5"/>
        <v>33024967.80908712</v>
      </c>
      <c r="Q20" s="200">
        <f t="shared" si="5"/>
        <v>33143422.567766141</v>
      </c>
      <c r="R20" s="200">
        <f t="shared" si="5"/>
        <v>33271406.267110027</v>
      </c>
      <c r="S20" s="200">
        <f t="shared" si="5"/>
        <v>6127699.8804002833</v>
      </c>
      <c r="T20" s="200">
        <f t="shared" si="5"/>
        <v>6361899.7610947657</v>
      </c>
      <c r="U20" s="200">
        <f t="shared" si="5"/>
        <v>6533405.2614839571</v>
      </c>
      <c r="V20" s="200">
        <f t="shared" si="5"/>
        <v>7114078.213172771</v>
      </c>
      <c r="W20" s="200">
        <f t="shared" si="5"/>
        <v>7327412.2429605043</v>
      </c>
      <c r="X20" s="200">
        <f t="shared" si="5"/>
        <v>7576950.4720756644</v>
      </c>
      <c r="Y20" s="200">
        <f t="shared" si="5"/>
        <v>7873542.054505405</v>
      </c>
      <c r="Z20" s="200">
        <f t="shared" si="5"/>
        <v>6756872.1242216807</v>
      </c>
      <c r="AA20" s="200">
        <f t="shared" si="5"/>
        <v>7196937.6336568408</v>
      </c>
      <c r="AB20" s="200">
        <f t="shared" si="5"/>
        <v>7746212.2872971054</v>
      </c>
      <c r="AC20" s="200">
        <f t="shared" si="5"/>
        <v>8442688.5715610906</v>
      </c>
      <c r="AD20" s="200">
        <f t="shared" si="5"/>
        <v>9339310.3853525892</v>
      </c>
      <c r="AE20" s="200">
        <f t="shared" si="5"/>
        <v>10510418.321265692</v>
      </c>
      <c r="AF20" s="200">
        <f t="shared" si="5"/>
        <v>12070183.495051729</v>
      </c>
      <c r="AG20" s="200">
        <f t="shared" ref="AG20:AH20" si="6">SUM(AG17:AG19)</f>
        <v>14159951.473925613</v>
      </c>
      <c r="AH20" s="200">
        <f t="shared" si="6"/>
        <v>15172.142857142859</v>
      </c>
    </row>
    <row r="21" spans="2:34" x14ac:dyDescent="0.25">
      <c r="B21" s="31" t="s">
        <v>524</v>
      </c>
      <c r="C21" s="31" t="s">
        <v>273</v>
      </c>
      <c r="D21" s="200">
        <v>4996835</v>
      </c>
      <c r="E21" s="200">
        <f>'O&amp;M costs '!G58</f>
        <v>4956456</v>
      </c>
      <c r="F21" s="200">
        <f>'O&amp;M costs '!H58</f>
        <v>4622063</v>
      </c>
      <c r="G21" s="200">
        <f>'O&amp;M costs '!I58</f>
        <v>4686773</v>
      </c>
      <c r="H21" s="200">
        <f>'O&amp;M costs '!J58</f>
        <v>4478719</v>
      </c>
      <c r="I21" s="200">
        <f>'O&amp;M costs '!K58</f>
        <v>4668927</v>
      </c>
      <c r="J21" s="200">
        <f>'prognoze cantitati'!M244</f>
        <v>4461738.6202145293</v>
      </c>
      <c r="K21" s="200">
        <f>'prognoze cantitati'!N244</f>
        <v>4620312.686490207</v>
      </c>
      <c r="L21" s="200">
        <f>'prognoze cantitati'!O244</f>
        <v>4783190.1936384197</v>
      </c>
      <c r="M21" s="200">
        <f>'prognoze cantitati'!P244</f>
        <v>4944153.6651710412</v>
      </c>
      <c r="N21" s="200">
        <f>'prognoze cantitati'!Q244</f>
        <v>5102368.9174758317</v>
      </c>
      <c r="O21" s="200">
        <f>'prognoze cantitati'!R244</f>
        <v>8579799.1008371897</v>
      </c>
      <c r="P21" s="200">
        <f>'prognoze cantitati'!S244</f>
        <v>8582061.3167826869</v>
      </c>
      <c r="Q21" s="200">
        <f>'prognoze cantitati'!T244</f>
        <v>8583979.6596978232</v>
      </c>
      <c r="R21" s="200">
        <f>'prognoze cantitati'!U244</f>
        <v>8585558.6780891195</v>
      </c>
      <c r="S21" s="200">
        <f>'prognoze cantitati'!V244</f>
        <v>8586802.8746630698</v>
      </c>
      <c r="T21" s="200">
        <f>'prognoze cantitati'!W244</f>
        <v>8587716.7067375798</v>
      </c>
      <c r="U21" s="200">
        <f>'prognoze cantitati'!X244</f>
        <v>8588304.5866500214</v>
      </c>
      <c r="V21" s="200">
        <f>'prognoze cantitati'!Y244</f>
        <v>8596156.5954958629</v>
      </c>
      <c r="W21" s="200">
        <f>'prognoze cantitati'!Z244</f>
        <v>8576391.2979124486</v>
      </c>
      <c r="X21" s="200">
        <f>'prognoze cantitati'!AA244</f>
        <v>8556629.6796587352</v>
      </c>
      <c r="Y21" s="200">
        <f>'prognoze cantitati'!AB244</f>
        <v>8536872.3333892599</v>
      </c>
      <c r="Z21" s="200">
        <f>'prognoze cantitati'!AC244</f>
        <v>8517119.8449255321</v>
      </c>
      <c r="AA21" s="200">
        <f>'prognoze cantitati'!AD244</f>
        <v>8497372.7933144309</v>
      </c>
      <c r="AB21" s="200">
        <f>'prognoze cantitati'!AE244</f>
        <v>8477631.7508861888</v>
      </c>
      <c r="AC21" s="200">
        <f>'prognoze cantitati'!AF244</f>
        <v>8457897.2833118904</v>
      </c>
      <c r="AD21" s="200">
        <f>'prognoze cantitati'!AG244</f>
        <v>8438169.9496605545</v>
      </c>
      <c r="AE21" s="200">
        <f>'prognoze cantitati'!AH244</f>
        <v>8418450.3024557903</v>
      </c>
      <c r="AF21" s="200">
        <f>'prognoze cantitati'!AI244</f>
        <v>8415382.5996585824</v>
      </c>
      <c r="AG21" s="200">
        <f>'prognoze cantitati'!AJ244</f>
        <v>8412266.7132813558</v>
      </c>
      <c r="AH21" s="200">
        <f>'prognoze cantitati'!AK244</f>
        <v>8409102.9810719546</v>
      </c>
    </row>
    <row r="22" spans="2:34" x14ac:dyDescent="0.25">
      <c r="B22" s="31" t="s">
        <v>317</v>
      </c>
      <c r="C22" s="31" t="s">
        <v>288</v>
      </c>
      <c r="D22" s="201">
        <f>D20/D21</f>
        <v>0</v>
      </c>
      <c r="E22" s="201">
        <f t="shared" ref="E22:AF22" si="7">E20/E21</f>
        <v>1.3796972918859294</v>
      </c>
      <c r="F22" s="201">
        <f t="shared" si="7"/>
        <v>1.3985028613968453</v>
      </c>
      <c r="G22" s="201">
        <f t="shared" si="7"/>
        <v>1.3738687788537114</v>
      </c>
      <c r="H22" s="201">
        <f t="shared" si="7"/>
        <v>1.4370692077598721</v>
      </c>
      <c r="I22" s="201">
        <f t="shared" si="7"/>
        <v>1.452108431245585</v>
      </c>
      <c r="J22" s="201">
        <f t="shared" si="7"/>
        <v>1.5017520134471753</v>
      </c>
      <c r="K22" s="201">
        <f t="shared" si="7"/>
        <v>1.4756650073201061</v>
      </c>
      <c r="L22" s="201">
        <f t="shared" si="7"/>
        <v>4.0492345238965841</v>
      </c>
      <c r="M22" s="201">
        <f t="shared" si="7"/>
        <v>4.3526256262669651</v>
      </c>
      <c r="N22" s="201">
        <f t="shared" si="7"/>
        <v>4.24456375673208</v>
      </c>
      <c r="O22" s="201">
        <f t="shared" si="7"/>
        <v>3.8362735302717565</v>
      </c>
      <c r="P22" s="201">
        <f t="shared" si="7"/>
        <v>3.8481393443909568</v>
      </c>
      <c r="Q22" s="201">
        <f t="shared" si="7"/>
        <v>3.8610788796921347</v>
      </c>
      <c r="R22" s="201">
        <f t="shared" si="7"/>
        <v>3.8752756244064499</v>
      </c>
      <c r="S22" s="201">
        <f t="shared" si="7"/>
        <v>0.71361832451996554</v>
      </c>
      <c r="T22" s="201">
        <f t="shared" si="7"/>
        <v>0.74081388317146901</v>
      </c>
      <c r="U22" s="201">
        <f t="shared" si="7"/>
        <v>0.76073283097571132</v>
      </c>
      <c r="V22" s="201">
        <f t="shared" si="7"/>
        <v>0.82758825227780775</v>
      </c>
      <c r="W22" s="201">
        <f t="shared" si="7"/>
        <v>0.85437009441768885</v>
      </c>
      <c r="X22" s="201">
        <f t="shared" si="7"/>
        <v>0.88550641499514526</v>
      </c>
      <c r="Y22" s="201">
        <f t="shared" si="7"/>
        <v>0.92229820794092821</v>
      </c>
      <c r="Z22" s="201">
        <f t="shared" si="7"/>
        <v>0.79332829022564477</v>
      </c>
      <c r="AA22" s="201">
        <f t="shared" si="7"/>
        <v>0.84696032629276341</v>
      </c>
      <c r="AB22" s="201">
        <f t="shared" si="7"/>
        <v>0.91372360995597313</v>
      </c>
      <c r="AC22" s="201">
        <f t="shared" si="7"/>
        <v>0.99820183300395382</v>
      </c>
      <c r="AD22" s="201">
        <f t="shared" si="7"/>
        <v>1.1067933498694567</v>
      </c>
      <c r="AE22" s="201">
        <f t="shared" si="7"/>
        <v>1.2484979947199597</v>
      </c>
      <c r="AF22" s="201">
        <f t="shared" si="7"/>
        <v>1.4343000276115103</v>
      </c>
      <c r="AG22" s="201">
        <f t="shared" ref="AG22:AH22" si="8">AG20/AG21</f>
        <v>1.6832504194820364</v>
      </c>
      <c r="AH22" s="201">
        <f t="shared" si="8"/>
        <v>1.8042522360938887E-3</v>
      </c>
    </row>
    <row r="24" spans="2:34" ht="15.75" thickBot="1" x14ac:dyDescent="0.3">
      <c r="B24" s="35" t="s">
        <v>301</v>
      </c>
      <c r="C24" s="105">
        <v>0.04</v>
      </c>
    </row>
    <row r="25" spans="2:34" ht="30.75" thickBot="1" x14ac:dyDescent="0.3">
      <c r="B25" s="597" t="s">
        <v>642</v>
      </c>
      <c r="C25" s="229" t="s">
        <v>302</v>
      </c>
      <c r="D25" s="230" t="s">
        <v>19</v>
      </c>
      <c r="E25" s="225" t="s">
        <v>303</v>
      </c>
    </row>
    <row r="26" spans="2:34" x14ac:dyDescent="0.25">
      <c r="B26" s="71" t="s">
        <v>341</v>
      </c>
      <c r="C26" s="87">
        <f>SUM(D8:N8)</f>
        <v>96437438.819999993</v>
      </c>
      <c r="D26" s="88">
        <f>SUM(D17:N17)</f>
        <v>81593612.200000003</v>
      </c>
      <c r="E26" s="89">
        <f>C26+D26</f>
        <v>178031051.01999998</v>
      </c>
    </row>
    <row r="27" spans="2:34" x14ac:dyDescent="0.25">
      <c r="B27" s="32" t="s">
        <v>342</v>
      </c>
      <c r="C27" s="81">
        <f>SUM(D9:N9)</f>
        <v>137833.90500000003</v>
      </c>
      <c r="D27" s="82">
        <f>SUM(D18:N18)</f>
        <v>520770.87000000011</v>
      </c>
      <c r="E27" s="83">
        <f t="shared" ref="E27:E29" si="9">C27+D27</f>
        <v>658604.77500000014</v>
      </c>
    </row>
    <row r="28" spans="2:34" x14ac:dyDescent="0.25">
      <c r="B28" s="32" t="s">
        <v>649</v>
      </c>
      <c r="C28" s="81">
        <f>SUM(D10:N10)</f>
        <v>43705613.285811849</v>
      </c>
      <c r="D28" s="82">
        <f>SUM(D19:N19)</f>
        <v>26907120.407538678</v>
      </c>
      <c r="E28" s="83">
        <f t="shared" si="9"/>
        <v>70612733.693350524</v>
      </c>
    </row>
    <row r="29" spans="2:34" ht="15.75" thickBot="1" x14ac:dyDescent="0.3">
      <c r="B29" s="78" t="s">
        <v>344</v>
      </c>
      <c r="C29" s="598">
        <f>SUM(D11:N11)</f>
        <v>140280886.01081184</v>
      </c>
      <c r="D29" s="599">
        <f>SUM(D20:N20)</f>
        <v>109021503.47753868</v>
      </c>
      <c r="E29" s="600">
        <f t="shared" si="9"/>
        <v>249302389.48835051</v>
      </c>
    </row>
    <row r="30" spans="2:34" ht="15.75" thickBot="1" x14ac:dyDescent="0.3">
      <c r="C30" s="601"/>
      <c r="D30" s="601"/>
    </row>
    <row r="31" spans="2:34" ht="30.75" thickBot="1" x14ac:dyDescent="0.3">
      <c r="B31" s="597" t="s">
        <v>644</v>
      </c>
      <c r="C31" s="229" t="s">
        <v>302</v>
      </c>
      <c r="D31" s="230" t="s">
        <v>19</v>
      </c>
      <c r="E31" s="225" t="s">
        <v>303</v>
      </c>
    </row>
    <row r="32" spans="2:34" x14ac:dyDescent="0.25">
      <c r="B32" s="71" t="s">
        <v>341</v>
      </c>
      <c r="C32" s="88">
        <f>SUM(O8:S8)</f>
        <v>19254100.390000001</v>
      </c>
      <c r="D32" s="88">
        <f>SUM(O17:S17)</f>
        <v>109678945.32571426</v>
      </c>
      <c r="E32" s="89">
        <f>C32+D32</f>
        <v>128933045.71571426</v>
      </c>
    </row>
    <row r="33" spans="2:5" x14ac:dyDescent="0.25">
      <c r="B33" s="32" t="s">
        <v>342</v>
      </c>
      <c r="C33" s="82">
        <f>SUM(O9:S9)</f>
        <v>1277595.4850000001</v>
      </c>
      <c r="D33" s="82">
        <f>SUM(O18:S18)</f>
        <v>1350380.7300000002</v>
      </c>
      <c r="E33" s="83">
        <f t="shared" ref="E33:E35" si="10">C33+D33</f>
        <v>2627976.2150000003</v>
      </c>
    </row>
    <row r="34" spans="2:5" x14ac:dyDescent="0.25">
      <c r="B34" s="32" t="s">
        <v>343</v>
      </c>
      <c r="C34" s="82">
        <f>SUM(O10:S10)</f>
        <v>30139695.630885225</v>
      </c>
      <c r="D34" s="82">
        <f>SUM(O19:S19)</f>
        <v>27452626.654240441</v>
      </c>
      <c r="E34" s="83">
        <f t="shared" si="10"/>
        <v>57592322.285125665</v>
      </c>
    </row>
    <row r="35" spans="2:5" ht="15.75" thickBot="1" x14ac:dyDescent="0.3">
      <c r="B35" s="78" t="s">
        <v>344</v>
      </c>
      <c r="C35" s="85">
        <f>SUM(O11:S11)</f>
        <v>50671391.505885229</v>
      </c>
      <c r="D35" s="85">
        <f>SUM(O20:S20)</f>
        <v>138481952.70995468</v>
      </c>
      <c r="E35" s="86">
        <f t="shared" si="10"/>
        <v>189153344.21583992</v>
      </c>
    </row>
    <row r="36" spans="2:5" ht="15.75" thickBot="1" x14ac:dyDescent="0.3"/>
    <row r="37" spans="2:5" ht="30.75" thickBot="1" x14ac:dyDescent="0.3">
      <c r="B37" s="597" t="s">
        <v>643</v>
      </c>
      <c r="C37" s="229" t="s">
        <v>302</v>
      </c>
      <c r="D37" s="230" t="s">
        <v>19</v>
      </c>
      <c r="E37" s="225" t="s">
        <v>303</v>
      </c>
    </row>
    <row r="38" spans="2:5" x14ac:dyDescent="0.25">
      <c r="B38" s="71" t="s">
        <v>341</v>
      </c>
      <c r="C38" s="88">
        <f>SUM(S8:Y8)</f>
        <v>0</v>
      </c>
      <c r="D38" s="88">
        <f>SUM(S17:Y17)</f>
        <v>2591402.0000000009</v>
      </c>
      <c r="E38" s="89">
        <f>C38+D38</f>
        <v>2591402.0000000009</v>
      </c>
    </row>
    <row r="39" spans="2:5" x14ac:dyDescent="0.25">
      <c r="B39" s="32" t="s">
        <v>342</v>
      </c>
      <c r="C39" s="82">
        <f>SUM(S9:Y9)</f>
        <v>4419844.080000001</v>
      </c>
      <c r="D39" s="82">
        <f>SUM(S18:Y18)</f>
        <v>6608735.0700000012</v>
      </c>
      <c r="E39" s="83">
        <f t="shared" ref="E39:E41" si="11">C39+D39</f>
        <v>11028579.150000002</v>
      </c>
    </row>
    <row r="40" spans="2:5" x14ac:dyDescent="0.25">
      <c r="B40" s="32" t="s">
        <v>649</v>
      </c>
      <c r="C40" s="82">
        <f>SUM(S10:Y10)</f>
        <v>45686379.887404703</v>
      </c>
      <c r="D40" s="82">
        <f>SUM(S19:Y19)</f>
        <v>39714850.815693349</v>
      </c>
      <c r="E40" s="83">
        <f>C40+D40</f>
        <v>85401230.703098059</v>
      </c>
    </row>
    <row r="41" spans="2:5" ht="15.75" thickBot="1" x14ac:dyDescent="0.3">
      <c r="B41" s="78" t="s">
        <v>344</v>
      </c>
      <c r="C41" s="85">
        <f>SUM(S11:Y11)</f>
        <v>50106223.967404708</v>
      </c>
      <c r="D41" s="85">
        <f>SUM(S20:Y20)</f>
        <v>48914987.885693356</v>
      </c>
      <c r="E41" s="86">
        <f t="shared" si="11"/>
        <v>99021211.853098065</v>
      </c>
    </row>
    <row r="42" spans="2:5" ht="15.75" thickBot="1" x14ac:dyDescent="0.3"/>
    <row r="43" spans="2:5" ht="30.75" thickBot="1" x14ac:dyDescent="0.3">
      <c r="B43" s="228" t="s">
        <v>318</v>
      </c>
      <c r="C43" s="229" t="s">
        <v>302</v>
      </c>
      <c r="D43" s="230" t="s">
        <v>19</v>
      </c>
      <c r="E43" s="225" t="s">
        <v>303</v>
      </c>
    </row>
    <row r="44" spans="2:5" x14ac:dyDescent="0.25">
      <c r="B44" s="71" t="s">
        <v>303</v>
      </c>
      <c r="C44" s="255">
        <f>(D11+NPV(rata,E11:AH11))/(D12+NPV(rata,E12:AH12))</f>
        <v>1.4323920964008361</v>
      </c>
      <c r="D44" s="255">
        <f>(D20+NPV(rata,E20:AH20))/(D21+NPV(rata,E21:AH21))</f>
        <v>1.7789422532532404</v>
      </c>
      <c r="E44" s="256">
        <f>SUM(E45:E47)</f>
        <v>3.2416226661597536</v>
      </c>
    </row>
    <row r="45" spans="2:5" x14ac:dyDescent="0.25">
      <c r="B45" s="32" t="s">
        <v>304</v>
      </c>
      <c r="C45" s="257">
        <f>(D8+NPV(rata,E8:AH8))/(D12+NPV(rata,E12:AH12))</f>
        <v>0.65446177975972952</v>
      </c>
      <c r="D45" s="257">
        <f>(D17+NPV(rata,E17:AH17))/(D21+NPV(rata,E21:AH21))</f>
        <v>1.0698639418580729</v>
      </c>
      <c r="E45" s="258">
        <f>(C45+D45)</f>
        <v>1.7243257216178023</v>
      </c>
    </row>
    <row r="46" spans="2:5" x14ac:dyDescent="0.25">
      <c r="B46" s="32" t="s">
        <v>305</v>
      </c>
      <c r="C46" s="257">
        <f>(D9+NPV(rata,E9:AH9))/(D12+NPV(rata,E12:AH12))</f>
        <v>2.0382670676202627E-2</v>
      </c>
      <c r="D46" s="257">
        <f>(D18+NPV(rata,E18:AH18))/(D21+NPV(rata,E21:AH21))</f>
        <v>3.3398454964486221E-2</v>
      </c>
      <c r="E46" s="258">
        <f t="shared" ref="E46" si="12">C46+D46</f>
        <v>5.3781125640688848E-2</v>
      </c>
    </row>
    <row r="47" spans="2:5" ht="15.75" thickBot="1" x14ac:dyDescent="0.3">
      <c r="B47" s="78" t="s">
        <v>306</v>
      </c>
      <c r="C47" s="259">
        <f>(E10+NPV(rata,F10:AH10))/(D12+NPV(rata,F12:AH12))</f>
        <v>0.78783596247058096</v>
      </c>
      <c r="D47" s="259">
        <f>(D19+NPV(rata,E19:AH19))/(D21+NPV(rata,E21:AH21))</f>
        <v>0.6756798564306814</v>
      </c>
      <c r="E47" s="260">
        <f>C47+D47</f>
        <v>1.4635158189012625</v>
      </c>
    </row>
    <row r="49" spans="2:7" ht="15.75" thickBot="1" x14ac:dyDescent="0.3"/>
    <row r="50" spans="2:7" ht="30.75" thickBot="1" x14ac:dyDescent="0.3">
      <c r="B50" s="231" t="s">
        <v>319</v>
      </c>
      <c r="C50" s="229" t="s">
        <v>302</v>
      </c>
      <c r="D50" s="230" t="s">
        <v>19</v>
      </c>
      <c r="E50" s="225" t="s">
        <v>303</v>
      </c>
      <c r="G50" s="660">
        <f>E51/E44</f>
        <v>4.8</v>
      </c>
    </row>
    <row r="51" spans="2:7" x14ac:dyDescent="0.25">
      <c r="B51" s="71" t="s">
        <v>303</v>
      </c>
      <c r="C51" s="250">
        <f>SUM(C52:C54)</f>
        <v>7.0208659819512622</v>
      </c>
      <c r="D51" s="250">
        <f t="shared" ref="D51:E51" si="13">SUM(D52:D54)</f>
        <v>8.538922815615555</v>
      </c>
      <c r="E51" s="250">
        <f t="shared" si="13"/>
        <v>15.559788797566815</v>
      </c>
      <c r="G51" s="41"/>
    </row>
    <row r="52" spans="2:7" x14ac:dyDescent="0.25">
      <c r="B52" s="32" t="s">
        <v>304</v>
      </c>
      <c r="C52" s="76">
        <f t="shared" ref="C52:E54" si="14">C45*4.8</f>
        <v>3.1414165428467018</v>
      </c>
      <c r="D52" s="76">
        <f t="shared" si="14"/>
        <v>5.1353469209187494</v>
      </c>
      <c r="E52" s="77">
        <f t="shared" si="14"/>
        <v>8.2767634637654499</v>
      </c>
    </row>
    <row r="53" spans="2:7" x14ac:dyDescent="0.25">
      <c r="B53" s="32" t="s">
        <v>305</v>
      </c>
      <c r="C53" s="76">
        <f t="shared" si="14"/>
        <v>9.7836819245772602E-2</v>
      </c>
      <c r="D53" s="76">
        <f t="shared" si="14"/>
        <v>0.16031258382953387</v>
      </c>
      <c r="E53" s="77">
        <f t="shared" si="14"/>
        <v>0.25814940307530648</v>
      </c>
    </row>
    <row r="54" spans="2:7" ht="15.75" thickBot="1" x14ac:dyDescent="0.3">
      <c r="B54" s="78" t="s">
        <v>306</v>
      </c>
      <c r="C54" s="603">
        <f t="shared" si="14"/>
        <v>3.7816126198587883</v>
      </c>
      <c r="D54" s="603">
        <f t="shared" si="14"/>
        <v>3.2432633108672708</v>
      </c>
      <c r="E54" s="604">
        <f t="shared" si="14"/>
        <v>7.0248759307260595</v>
      </c>
    </row>
  </sheetData>
  <mergeCells count="33">
    <mergeCell ref="AG5:AG6"/>
    <mergeCell ref="AH5:AH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Y5:Y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F5:AF6"/>
    <mergeCell ref="Z5:Z6"/>
    <mergeCell ref="AA5:AA6"/>
    <mergeCell ref="AB5:AB6"/>
    <mergeCell ref="AC5:AC6"/>
    <mergeCell ref="AD5:AD6"/>
    <mergeCell ref="AE5:AE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AH54"/>
  <sheetViews>
    <sheetView topLeftCell="A22" zoomScale="84" zoomScaleNormal="84" workbookViewId="0">
      <selection activeCell="D44" sqref="D44"/>
    </sheetView>
  </sheetViews>
  <sheetFormatPr defaultRowHeight="15" x14ac:dyDescent="0.25"/>
  <cols>
    <col min="1" max="1" width="9.140625" style="254"/>
    <col min="2" max="2" width="36.5703125" style="254" customWidth="1"/>
    <col min="3" max="3" width="15.42578125" style="254" customWidth="1"/>
    <col min="4" max="5" width="16" style="254" customWidth="1"/>
    <col min="6" max="6" width="14.42578125" style="254" customWidth="1"/>
    <col min="7" max="7" width="16.140625" style="254" customWidth="1"/>
    <col min="8" max="8" width="15.7109375" style="254" customWidth="1"/>
    <col min="9" max="9" width="16" style="254" customWidth="1"/>
    <col min="10" max="11" width="14.42578125" style="254" customWidth="1"/>
    <col min="12" max="12" width="14.85546875" style="254" customWidth="1"/>
    <col min="13" max="13" width="14.5703125" style="254" customWidth="1"/>
    <col min="14" max="14" width="14.7109375" style="254" customWidth="1"/>
    <col min="15" max="15" width="15.42578125" style="254" customWidth="1"/>
    <col min="16" max="16" width="14.5703125" style="254" customWidth="1"/>
    <col min="17" max="21" width="17" style="254" bestFit="1" customWidth="1"/>
    <col min="22" max="23" width="15.5703125" style="254" customWidth="1"/>
    <col min="24" max="24" width="16" style="254" customWidth="1"/>
    <col min="25" max="25" width="14.42578125" style="254" customWidth="1"/>
    <col min="26" max="27" width="14.5703125" style="254" customWidth="1"/>
    <col min="28" max="29" width="14.85546875" style="254" customWidth="1"/>
    <col min="30" max="30" width="15.5703125" style="254" customWidth="1"/>
    <col min="31" max="31" width="14.42578125" style="254" customWidth="1"/>
    <col min="32" max="32" width="16.42578125" style="254" customWidth="1"/>
    <col min="33" max="33" width="14.85546875" style="254" customWidth="1"/>
    <col min="34" max="34" width="15.7109375" style="254" customWidth="1"/>
    <col min="35" max="16384" width="9.140625" style="254"/>
  </cols>
  <sheetData>
    <row r="2" spans="2:34" hidden="1" x14ac:dyDescent="0.25"/>
    <row r="3" spans="2:34" hidden="1" x14ac:dyDescent="0.25"/>
    <row r="4" spans="2:34" ht="15.75" thickBot="1" x14ac:dyDescent="0.3"/>
    <row r="5" spans="2:34" ht="15" customHeight="1" x14ac:dyDescent="0.25">
      <c r="B5" s="738" t="s">
        <v>505</v>
      </c>
      <c r="C5" s="735" t="s">
        <v>272</v>
      </c>
      <c r="D5" s="735">
        <v>2013</v>
      </c>
      <c r="E5" s="735">
        <f>D5+1</f>
        <v>2014</v>
      </c>
      <c r="F5" s="735">
        <f t="shared" ref="F5:AE5" si="0">E5+1</f>
        <v>2015</v>
      </c>
      <c r="G5" s="735">
        <f t="shared" si="0"/>
        <v>2016</v>
      </c>
      <c r="H5" s="735">
        <f t="shared" si="0"/>
        <v>2017</v>
      </c>
      <c r="I5" s="735">
        <f t="shared" si="0"/>
        <v>2018</v>
      </c>
      <c r="J5" s="735">
        <f t="shared" si="0"/>
        <v>2019</v>
      </c>
      <c r="K5" s="735">
        <f t="shared" si="0"/>
        <v>2020</v>
      </c>
      <c r="L5" s="735">
        <f t="shared" si="0"/>
        <v>2021</v>
      </c>
      <c r="M5" s="735">
        <f t="shared" si="0"/>
        <v>2022</v>
      </c>
      <c r="N5" s="735">
        <f t="shared" si="0"/>
        <v>2023</v>
      </c>
      <c r="O5" s="735">
        <f t="shared" si="0"/>
        <v>2024</v>
      </c>
      <c r="P5" s="735">
        <f t="shared" si="0"/>
        <v>2025</v>
      </c>
      <c r="Q5" s="735">
        <f t="shared" si="0"/>
        <v>2026</v>
      </c>
      <c r="R5" s="735">
        <f t="shared" si="0"/>
        <v>2027</v>
      </c>
      <c r="S5" s="735">
        <f t="shared" si="0"/>
        <v>2028</v>
      </c>
      <c r="T5" s="735">
        <f t="shared" si="0"/>
        <v>2029</v>
      </c>
      <c r="U5" s="735">
        <f t="shared" si="0"/>
        <v>2030</v>
      </c>
      <c r="V5" s="735">
        <f t="shared" si="0"/>
        <v>2031</v>
      </c>
      <c r="W5" s="735">
        <f t="shared" si="0"/>
        <v>2032</v>
      </c>
      <c r="X5" s="735">
        <f t="shared" si="0"/>
        <v>2033</v>
      </c>
      <c r="Y5" s="735">
        <f t="shared" si="0"/>
        <v>2034</v>
      </c>
      <c r="Z5" s="735">
        <f t="shared" si="0"/>
        <v>2035</v>
      </c>
      <c r="AA5" s="735">
        <f t="shared" si="0"/>
        <v>2036</v>
      </c>
      <c r="AB5" s="735">
        <f t="shared" si="0"/>
        <v>2037</v>
      </c>
      <c r="AC5" s="735">
        <f t="shared" si="0"/>
        <v>2038</v>
      </c>
      <c r="AD5" s="735">
        <f t="shared" si="0"/>
        <v>2039</v>
      </c>
      <c r="AE5" s="735">
        <f t="shared" si="0"/>
        <v>2040</v>
      </c>
      <c r="AF5" s="735">
        <f>AE5+1</f>
        <v>2041</v>
      </c>
      <c r="AG5" s="735">
        <f>AF5+1</f>
        <v>2042</v>
      </c>
      <c r="AH5" s="735">
        <f>AG5+1</f>
        <v>2043</v>
      </c>
    </row>
    <row r="6" spans="2:34" ht="15.75" customHeight="1" thickBot="1" x14ac:dyDescent="0.3">
      <c r="B6" s="739"/>
      <c r="C6" s="736"/>
      <c r="D6" s="736"/>
      <c r="E6" s="736"/>
      <c r="F6" s="736"/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</row>
    <row r="7" spans="2:34" ht="32.25" customHeight="1" thickBot="1" x14ac:dyDescent="0.3">
      <c r="B7" s="331" t="s">
        <v>275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</row>
    <row r="8" spans="2:34" x14ac:dyDescent="0.25">
      <c r="B8" s="31" t="s">
        <v>276</v>
      </c>
      <c r="C8" s="31" t="s">
        <v>316</v>
      </c>
      <c r="D8" s="200">
        <f>'Investitii-constante'!E6</f>
        <v>0</v>
      </c>
      <c r="E8" s="200">
        <f>'Investitii-constante'!F37*86%</f>
        <v>964102.2208400002</v>
      </c>
      <c r="F8" s="200">
        <f>'Investitii-constante'!G37*86%</f>
        <v>964102.2208400002</v>
      </c>
      <c r="G8" s="200">
        <f>'Investitii-constante'!H37*86%</f>
        <v>964102.2208400002</v>
      </c>
      <c r="H8" s="200">
        <f>'Investitii-constante'!I37*86%</f>
        <v>964102.2208400002</v>
      </c>
      <c r="I8" s="200">
        <f>'Investitii-constante'!J37*86%</f>
        <v>964102.2208400002</v>
      </c>
      <c r="J8" s="200">
        <f>'Investitii-constante'!K37*86%</f>
        <v>964102.2208400002</v>
      </c>
      <c r="K8" s="200">
        <f>'Investitii-constante'!L37*86%</f>
        <v>964102.2208400002</v>
      </c>
      <c r="L8" s="200">
        <f>'Investitii-constante'!M37*86%</f>
        <v>22952654.773879994</v>
      </c>
      <c r="M8" s="200">
        <f>'Investitii-constante'!N37*86%</f>
        <v>26617413.532719996</v>
      </c>
      <c r="N8" s="200">
        <f>'Investitii-constante'!O37*86%</f>
        <v>26617413.532719996</v>
      </c>
      <c r="O8" s="200">
        <f>'Investitii-constante'!P37*86%</f>
        <v>4139631.5838500001</v>
      </c>
      <c r="P8" s="200">
        <f>'Investitii-constante'!Q37*86%</f>
        <v>4139631.5838500001</v>
      </c>
      <c r="Q8" s="200">
        <f>'Investitii-constante'!R37*86%</f>
        <v>4139631.5838500001</v>
      </c>
      <c r="R8" s="200">
        <f>'Investitii-constante'!S37*86%</f>
        <v>4139631.5838500001</v>
      </c>
      <c r="S8" s="200">
        <f>'Investitii-constante'!T37*86%</f>
        <v>0</v>
      </c>
      <c r="T8" s="200">
        <f>'Investitii-constante'!U37*86%</f>
        <v>0</v>
      </c>
      <c r="U8" s="200">
        <f>'Investitii-constante'!V37*86%</f>
        <v>0</v>
      </c>
      <c r="V8" s="200">
        <f>'Investitii-constante'!W37</f>
        <v>0</v>
      </c>
      <c r="W8" s="200">
        <f>'Investitii-constante'!X37</f>
        <v>0</v>
      </c>
      <c r="X8" s="200">
        <f>'Investitii-constante'!Y37</f>
        <v>0</v>
      </c>
      <c r="Y8" s="200">
        <f>'Investitii-constante'!Z37</f>
        <v>0</v>
      </c>
      <c r="Z8" s="200">
        <f>'Investitii-constante'!AA37</f>
        <v>0</v>
      </c>
      <c r="AA8" s="200">
        <f>'Investitii-constante'!AB37</f>
        <v>0</v>
      </c>
      <c r="AB8" s="200">
        <f>'Investitii-constante'!AC37</f>
        <v>0</v>
      </c>
      <c r="AC8" s="200">
        <f>'Investitii-constante'!AD37</f>
        <v>0</v>
      </c>
      <c r="AD8" s="200">
        <f>'Investitii-constante'!AE37</f>
        <v>0</v>
      </c>
      <c r="AE8" s="200">
        <f>'Investitii-constante'!AF37</f>
        <v>0</v>
      </c>
      <c r="AF8" s="200">
        <f>'Investitii-constante'!AG37</f>
        <v>0</v>
      </c>
      <c r="AG8" s="200">
        <f>'Investitii-constante'!AH37</f>
        <v>0</v>
      </c>
      <c r="AH8" s="200">
        <f>'Investitii-constante'!AI37</f>
        <v>0</v>
      </c>
    </row>
    <row r="9" spans="2:34" x14ac:dyDescent="0.25">
      <c r="B9" s="31" t="s">
        <v>277</v>
      </c>
      <c r="C9" s="31" t="s">
        <v>316</v>
      </c>
      <c r="D9" s="200">
        <f>'Investitii-constante'!E43</f>
        <v>0</v>
      </c>
      <c r="E9" s="200">
        <f>'Investitii-constante'!F43</f>
        <v>0</v>
      </c>
      <c r="F9" s="200">
        <f>'Investitii-constante'!G43</f>
        <v>0</v>
      </c>
      <c r="G9" s="200">
        <f>'Investitii-constante'!H43</f>
        <v>0</v>
      </c>
      <c r="H9" s="200">
        <f>'Investitii-constante'!I43</f>
        <v>0</v>
      </c>
      <c r="I9" s="200">
        <f>'Investitii-constante'!J43</f>
        <v>0</v>
      </c>
      <c r="J9" s="200">
        <f>'Investitii-constante'!K43</f>
        <v>0</v>
      </c>
      <c r="K9" s="200">
        <f>'Investitii-constante'!L43</f>
        <v>0</v>
      </c>
      <c r="L9" s="200">
        <f>'Investitii-constante'!M43*86%</f>
        <v>39512.386100000011</v>
      </c>
      <c r="M9" s="200">
        <f>'Investitii-constante'!N43*86%</f>
        <v>39512.386100000011</v>
      </c>
      <c r="N9" s="200">
        <f>'Investitii-constante'!O43*86%</f>
        <v>39512.386100000011</v>
      </c>
      <c r="O9" s="200">
        <f>'Investitii-constante'!P43*86%</f>
        <v>39512.386100000011</v>
      </c>
      <c r="P9" s="200">
        <f>'Investitii-constante'!Q43*86%</f>
        <v>39512.386100000011</v>
      </c>
      <c r="Q9" s="200">
        <f>'Investitii-constante'!R43*86%</f>
        <v>39512.386100000011</v>
      </c>
      <c r="R9" s="200">
        <f>'Investitii-constante'!S43*86%</f>
        <v>39512.386100000011</v>
      </c>
      <c r="S9" s="200">
        <f>'Investitii-constante'!T43*86%</f>
        <v>940682.57270000002</v>
      </c>
      <c r="T9" s="200">
        <f>'Investitii-constante'!U43*86%</f>
        <v>1090877.6038000002</v>
      </c>
      <c r="U9" s="200">
        <f>'Investitii-constante'!V43*86%</f>
        <v>1090877.6038000002</v>
      </c>
      <c r="V9" s="200">
        <f>'Investitii-constante'!W43*86%</f>
        <v>169657.03212500003</v>
      </c>
      <c r="W9" s="200">
        <f>'Investitii-constante'!X43*86%</f>
        <v>169657.03212500003</v>
      </c>
      <c r="X9" s="200">
        <f>'Investitii-constante'!Y43*86%</f>
        <v>169657.03212500003</v>
      </c>
      <c r="Y9" s="200">
        <f>'Investitii-constante'!Z43*86%</f>
        <v>169657.03212500003</v>
      </c>
      <c r="Z9" s="200">
        <f>'Investitii-constante'!AA43*86%</f>
        <v>0</v>
      </c>
      <c r="AA9" s="200">
        <f>'Investitii-constante'!AB43*86%</f>
        <v>0</v>
      </c>
      <c r="AB9" s="200">
        <f>'Investitii-constante'!AC43*86%</f>
        <v>0</v>
      </c>
      <c r="AC9" s="200">
        <f>'Investitii-constante'!AD43*86%</f>
        <v>0</v>
      </c>
      <c r="AD9" s="200">
        <f>'Investitii-constante'!AE43*86%</f>
        <v>0</v>
      </c>
      <c r="AE9" s="200">
        <f>'Investitii-constante'!AF43*86%</f>
        <v>0</v>
      </c>
      <c r="AF9" s="200">
        <f>'Investitii-constante'!AG43*86%</f>
        <v>0</v>
      </c>
      <c r="AG9" s="200">
        <f>'Investitii-constante'!AH43*86%</f>
        <v>0</v>
      </c>
      <c r="AH9" s="200">
        <f>'Investitii-constante'!AI43*86%</f>
        <v>0</v>
      </c>
    </row>
    <row r="10" spans="2:34" x14ac:dyDescent="0.25">
      <c r="B10" s="31" t="s">
        <v>278</v>
      </c>
      <c r="C10" s="31" t="s">
        <v>316</v>
      </c>
      <c r="D10" s="200">
        <f>'[18]Operare_Apa rev 1'!D110</f>
        <v>396051.29351324792</v>
      </c>
      <c r="E10" s="200">
        <f>'[18]Operare_Apa rev 1'!E110</f>
        <v>466211.39388478082</v>
      </c>
      <c r="F10" s="200">
        <f>'[18]Operare_Apa rev 1'!F110</f>
        <v>578819.28258566046</v>
      </c>
      <c r="G10" s="200">
        <f>'[18]Operare_Apa rev 1'!G110</f>
        <v>757909.77132608416</v>
      </c>
      <c r="H10" s="200">
        <f>'[18]Operare_Apa rev 1'!H110</f>
        <v>959586.84955735237</v>
      </c>
      <c r="I10" s="200">
        <f>'[18]Operare_Apa rev 1'!I110</f>
        <v>1158707.5995944338</v>
      </c>
      <c r="J10" s="200">
        <f>'[18]Operare_Apa rev 1'!J110</f>
        <v>1205495.6214570748</v>
      </c>
      <c r="K10" s="200">
        <f>'[18]Operare_Apa rev 1'!K110</f>
        <v>1254881.8440458442</v>
      </c>
      <c r="L10" s="200">
        <f>'[18]Operare_Apa rev 1'!L110</f>
        <v>1290727.048715035</v>
      </c>
      <c r="M10" s="200">
        <f>'[18]Operare_Apa rev 1'!M110</f>
        <v>1315698.8182498303</v>
      </c>
      <c r="N10" s="200">
        <f>'[18]Operare_Apa rev 1'!N110</f>
        <v>1348910.4046575604</v>
      </c>
      <c r="O10" s="200">
        <f>'[18]Operare_Apa rev 1'!O110</f>
        <v>1383683.7623858475</v>
      </c>
      <c r="P10" s="200">
        <f>'[18]Operare_Apa rev 1'!P110</f>
        <v>1420423.5443695912</v>
      </c>
      <c r="Q10" s="200">
        <f>'[18]Operare_Apa rev 1'!Q110</f>
        <v>1448416.9527156311</v>
      </c>
      <c r="R10" s="200">
        <f>'[18]Operare_Apa rev 1'!R110</f>
        <v>1478194.6607367513</v>
      </c>
      <c r="S10" s="200">
        <f>'[18]Operare_Apa rev 1'!S110</f>
        <v>1510013.2791921729</v>
      </c>
      <c r="T10" s="200">
        <f>'[18]Operare_Apa rev 1'!T110</f>
        <v>1541816.1776664569</v>
      </c>
      <c r="U10" s="200">
        <f>'[18]Operare_Apa rev 1'!U110</f>
        <v>1576083.8074405889</v>
      </c>
      <c r="V10" s="200">
        <f>'[18]Operare_Apa rev 1'!V110</f>
        <v>1577290.5703260512</v>
      </c>
      <c r="W10" s="200">
        <f>'[18]Operare_Apa rev 1'!W110</f>
        <v>1577148.2602160817</v>
      </c>
      <c r="X10" s="200">
        <f>'[18]Operare_Apa rev 1'!X110</f>
        <v>1574871.8719518008</v>
      </c>
      <c r="Y10" s="200">
        <f>'[18]Operare_Apa rev 1'!Y110</f>
        <v>1572605.5652631258</v>
      </c>
      <c r="Z10" s="200">
        <f>'[18]Operare_Apa rev 1'!Z110</f>
        <v>1570508.3433058998</v>
      </c>
      <c r="AA10" s="200">
        <f>'[18]Operare_Apa rev 1'!AA110</f>
        <v>1568103.2093788758</v>
      </c>
      <c r="AB10" s="200">
        <f>'[18]Operare_Apa rev 1'!AB110</f>
        <v>1565867.1669240377</v>
      </c>
      <c r="AC10" s="200">
        <f>'[18]Operare_Apa rev 1'!AC110</f>
        <v>1563641.2195267645</v>
      </c>
      <c r="AD10" s="200">
        <f>'[18]Operare_Apa rev 1'!AD110</f>
        <v>1561425.3709162271</v>
      </c>
      <c r="AE10" s="200">
        <f>'[18]Operare_Apa rev 1'!AE110</f>
        <v>1559219.6249657157</v>
      </c>
      <c r="AF10" s="200">
        <f>'[18]Operare_Apa rev 1'!AF110</f>
        <v>1557023.9856928503</v>
      </c>
      <c r="AG10" s="200">
        <f>'[18]Operare_Apa rev 1'!AG110</f>
        <v>1554245.0016769201</v>
      </c>
      <c r="AH10" s="200">
        <f>'[18]Operare_Apa rev 1'!AH110</f>
        <v>1548502.9970284831</v>
      </c>
    </row>
    <row r="11" spans="2:34" x14ac:dyDescent="0.25">
      <c r="B11" s="96" t="s">
        <v>279</v>
      </c>
      <c r="C11" s="31" t="s">
        <v>316</v>
      </c>
      <c r="D11" s="200">
        <f>SUM(D8:D10)</f>
        <v>396051.29351324792</v>
      </c>
      <c r="E11" s="200">
        <f t="shared" ref="E11:AH11" si="1">SUM(E8:E10)</f>
        <v>1430313.6147247809</v>
      </c>
      <c r="F11" s="200">
        <f t="shared" si="1"/>
        <v>1542921.5034256605</v>
      </c>
      <c r="G11" s="200">
        <f t="shared" si="1"/>
        <v>1722011.9921660842</v>
      </c>
      <c r="H11" s="200">
        <f t="shared" si="1"/>
        <v>1923689.0703973526</v>
      </c>
      <c r="I11" s="200">
        <f t="shared" si="1"/>
        <v>2122809.8204344339</v>
      </c>
      <c r="J11" s="200">
        <f t="shared" si="1"/>
        <v>2169597.8422970749</v>
      </c>
      <c r="K11" s="200">
        <f t="shared" si="1"/>
        <v>2218984.0648858445</v>
      </c>
      <c r="L11" s="200">
        <f t="shared" si="1"/>
        <v>24282894.208695032</v>
      </c>
      <c r="M11" s="200">
        <f t="shared" si="1"/>
        <v>27972624.737069827</v>
      </c>
      <c r="N11" s="200">
        <f t="shared" si="1"/>
        <v>28005836.323477559</v>
      </c>
      <c r="O11" s="200">
        <f t="shared" si="1"/>
        <v>5562827.7323358478</v>
      </c>
      <c r="P11" s="200">
        <f t="shared" si="1"/>
        <v>5599567.5143195912</v>
      </c>
      <c r="Q11" s="200">
        <f t="shared" si="1"/>
        <v>5627560.9226656314</v>
      </c>
      <c r="R11" s="200">
        <f t="shared" si="1"/>
        <v>5657338.6306867516</v>
      </c>
      <c r="S11" s="200">
        <f t="shared" si="1"/>
        <v>2450695.8518921728</v>
      </c>
      <c r="T11" s="200">
        <f t="shared" si="1"/>
        <v>2632693.7814664571</v>
      </c>
      <c r="U11" s="200">
        <f t="shared" si="1"/>
        <v>2666961.4112405889</v>
      </c>
      <c r="V11" s="200">
        <f t="shared" si="1"/>
        <v>1746947.6024510511</v>
      </c>
      <c r="W11" s="200">
        <f t="shared" si="1"/>
        <v>1746805.2923410819</v>
      </c>
      <c r="X11" s="200">
        <f t="shared" si="1"/>
        <v>1744528.9040768007</v>
      </c>
      <c r="Y11" s="200">
        <f t="shared" si="1"/>
        <v>1742262.597388126</v>
      </c>
      <c r="Z11" s="200">
        <f>SUM(Z8:Z10)</f>
        <v>1570508.3433058998</v>
      </c>
      <c r="AA11" s="200">
        <f t="shared" si="1"/>
        <v>1568103.2093788758</v>
      </c>
      <c r="AB11" s="200">
        <f t="shared" si="1"/>
        <v>1565867.1669240377</v>
      </c>
      <c r="AC11" s="200">
        <f t="shared" si="1"/>
        <v>1563641.2195267645</v>
      </c>
      <c r="AD11" s="200">
        <f t="shared" si="1"/>
        <v>1561425.3709162271</v>
      </c>
      <c r="AE11" s="200">
        <f t="shared" si="1"/>
        <v>1559219.6249657157</v>
      </c>
      <c r="AF11" s="200">
        <f t="shared" si="1"/>
        <v>1557023.9856928503</v>
      </c>
      <c r="AG11" s="200">
        <f t="shared" si="1"/>
        <v>1554245.0016769201</v>
      </c>
      <c r="AH11" s="200">
        <f t="shared" si="1"/>
        <v>1548502.9970284831</v>
      </c>
    </row>
    <row r="12" spans="2:34" x14ac:dyDescent="0.25">
      <c r="B12" s="31" t="s">
        <v>280</v>
      </c>
      <c r="C12" s="31" t="s">
        <v>273</v>
      </c>
      <c r="D12" s="200">
        <f>'[18]Volum apa produs'!D99</f>
        <v>4349468.128179457</v>
      </c>
      <c r="E12" s="200">
        <f>'[18]Volum apa produs'!E99</f>
        <v>4572883.2790352553</v>
      </c>
      <c r="F12" s="200">
        <f>'[18]Volum apa produs'!F99</f>
        <v>5087783.0004123412</v>
      </c>
      <c r="G12" s="200">
        <f>'[18]Volum apa produs'!G99</f>
        <v>7840724.6744075082</v>
      </c>
      <c r="H12" s="200">
        <f>'[18]Volum apa produs'!H99</f>
        <v>6647552.8845893033</v>
      </c>
      <c r="I12" s="200">
        <f>'[18]Volum apa produs'!I99</f>
        <v>7300552.9729820117</v>
      </c>
      <c r="J12" s="200">
        <f>'[18]Volum apa produs'!J99</f>
        <v>7569123.8850270677</v>
      </c>
      <c r="K12" s="200">
        <f>'[18]Volum apa produs'!K99</f>
        <v>7848358.2299662642</v>
      </c>
      <c r="L12" s="200">
        <f>'[18]Volum apa produs'!L99</f>
        <v>8037733.2321693264</v>
      </c>
      <c r="M12" s="200">
        <f>'[18]Volum apa produs'!M99</f>
        <v>8159077.4533654228</v>
      </c>
      <c r="N12" s="200">
        <f>'[18]Volum apa produs'!N99</f>
        <v>8332448.1349924225</v>
      </c>
      <c r="O12" s="200">
        <f>'[18]Volum apa produs'!O99</f>
        <v>8517530.7571209744</v>
      </c>
      <c r="P12" s="200">
        <f>'[18]Volum apa produs'!P99</f>
        <v>8707932.399009319</v>
      </c>
      <c r="Q12" s="200">
        <f>'[18]Volum apa produs'!Q99</f>
        <v>8868877.419184437</v>
      </c>
      <c r="R12" s="200">
        <f>'[18]Volum apa produs'!R99</f>
        <v>9032569.3224334903</v>
      </c>
      <c r="S12" s="200">
        <f>'[18]Volum apa produs'!S99</f>
        <v>9208893.0255800709</v>
      </c>
      <c r="T12" s="200">
        <f>'[18]Volum apa produs'!T99</f>
        <v>9384245.1471655592</v>
      </c>
      <c r="U12" s="200">
        <f>'[18]Volum apa produs'!U99</f>
        <v>9571874.1022354029</v>
      </c>
      <c r="V12" s="200">
        <f>'[18]Volum apa produs'!V99</f>
        <v>9584144.6883726064</v>
      </c>
      <c r="W12" s="200">
        <f>'[18]Volum apa produs'!W99</f>
        <v>9585831.7567464858</v>
      </c>
      <c r="X12" s="200">
        <f>'[18]Volum apa produs'!X99</f>
        <v>9576931.4524362385</v>
      </c>
      <c r="Y12" s="200">
        <f>'[18]Volum apa produs'!Y99</f>
        <v>9568104.8838979807</v>
      </c>
      <c r="Z12" s="200">
        <f>'[18]Volum apa produs'!Z99</f>
        <v>9559352.1453600824</v>
      </c>
      <c r="AA12" s="200">
        <f>'[18]Volum apa produs'!AA99</f>
        <v>9550673.33304918</v>
      </c>
      <c r="AB12" s="200">
        <f>'[18]Volum apa produs'!AB99</f>
        <v>9542068.5451956633</v>
      </c>
      <c r="AC12" s="200">
        <f>'[18]Volum apa produs'!AC99</f>
        <v>9533537.8820392303</v>
      </c>
      <c r="AD12" s="200">
        <f>'[18]Volum apa produs'!AD99</f>
        <v>9525081.4458345342</v>
      </c>
      <c r="AE12" s="200">
        <f>'[18]Volum apa produs'!AE99</f>
        <v>9516699.3408568669</v>
      </c>
      <c r="AF12" s="200">
        <f>'[18]Volum apa produs'!AF99</f>
        <v>9508391.6734081376</v>
      </c>
      <c r="AG12" s="200">
        <f>'[18]Volum apa produs'!AG99</f>
        <v>9494544.8164837193</v>
      </c>
      <c r="AH12" s="200">
        <f>'[18]Volum apa produs'!AH99</f>
        <v>9465151.0084313545</v>
      </c>
    </row>
    <row r="13" spans="2:34" x14ac:dyDescent="0.25">
      <c r="B13" s="31" t="s">
        <v>317</v>
      </c>
      <c r="C13" s="31" t="s">
        <v>288</v>
      </c>
      <c r="D13" s="201">
        <f>D11/D12</f>
        <v>9.1057407904037643E-2</v>
      </c>
      <c r="E13" s="201">
        <f t="shared" ref="E13:AH13" si="2">E11/E12</f>
        <v>0.31278157071757479</v>
      </c>
      <c r="F13" s="201">
        <f t="shared" si="2"/>
        <v>0.30326008465781934</v>
      </c>
      <c r="G13" s="201">
        <f t="shared" si="2"/>
        <v>0.21962408625146754</v>
      </c>
      <c r="H13" s="201">
        <f t="shared" si="2"/>
        <v>0.2893830412176106</v>
      </c>
      <c r="I13" s="201">
        <f t="shared" si="2"/>
        <v>0.29077383977495375</v>
      </c>
      <c r="J13" s="201">
        <f t="shared" si="2"/>
        <v>0.286637908858763</v>
      </c>
      <c r="K13" s="201">
        <f t="shared" si="2"/>
        <v>0.28273226066738583</v>
      </c>
      <c r="L13" s="201">
        <f t="shared" si="2"/>
        <v>3.0211122349156709</v>
      </c>
      <c r="M13" s="201">
        <f t="shared" si="2"/>
        <v>3.4284053432452457</v>
      </c>
      <c r="N13" s="201">
        <f t="shared" si="2"/>
        <v>3.3610573831076151</v>
      </c>
      <c r="O13" s="201">
        <f t="shared" si="2"/>
        <v>0.65310333369622597</v>
      </c>
      <c r="P13" s="201">
        <f t="shared" si="2"/>
        <v>0.64304214338602828</v>
      </c>
      <c r="Q13" s="201">
        <f t="shared" si="2"/>
        <v>0.63452911306368354</v>
      </c>
      <c r="R13" s="201">
        <f t="shared" si="2"/>
        <v>0.62632662188775667</v>
      </c>
      <c r="S13" s="201">
        <f t="shared" si="2"/>
        <v>0.26612274082071907</v>
      </c>
      <c r="T13" s="201">
        <f t="shared" si="2"/>
        <v>0.28054401181768385</v>
      </c>
      <c r="U13" s="201">
        <f t="shared" si="2"/>
        <v>0.2786247899580867</v>
      </c>
      <c r="V13" s="201">
        <f t="shared" si="2"/>
        <v>0.18227475265168225</v>
      </c>
      <c r="W13" s="201">
        <f t="shared" si="2"/>
        <v>0.18222782713786775</v>
      </c>
      <c r="X13" s="201">
        <f t="shared" si="2"/>
        <v>0.18215948529453208</v>
      </c>
      <c r="Y13" s="201">
        <f t="shared" si="2"/>
        <v>0.18209066670246826</v>
      </c>
      <c r="Z13" s="201">
        <f t="shared" si="2"/>
        <v>0.16429024890229543</v>
      </c>
      <c r="AA13" s="201">
        <f t="shared" si="2"/>
        <v>0.16418771270844398</v>
      </c>
      <c r="AB13" s="201">
        <f t="shared" si="2"/>
        <v>0.16410143770267049</v>
      </c>
      <c r="AC13" s="201">
        <f t="shared" si="2"/>
        <v>0.16401479061331434</v>
      </c>
      <c r="AD13" s="201">
        <f t="shared" si="2"/>
        <v>0.16392777109523432</v>
      </c>
      <c r="AE13" s="201">
        <f t="shared" si="2"/>
        <v>0.16384037880357438</v>
      </c>
      <c r="AF13" s="201">
        <f t="shared" si="2"/>
        <v>0.16375261339384423</v>
      </c>
      <c r="AG13" s="201">
        <f t="shared" si="2"/>
        <v>0.16369873771921706</v>
      </c>
      <c r="AH13" s="201">
        <f t="shared" si="2"/>
        <v>0.16360045345807053</v>
      </c>
    </row>
    <row r="14" spans="2:34" x14ac:dyDescent="0.25">
      <c r="B14" s="31"/>
      <c r="C14" s="31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</row>
    <row r="15" spans="2:34" ht="15.75" thickBot="1" x14ac:dyDescent="0.3">
      <c r="B15" s="31"/>
      <c r="C15" s="31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</row>
    <row r="16" spans="2:34" ht="15.75" thickBot="1" x14ac:dyDescent="0.3">
      <c r="B16" s="230" t="s">
        <v>281</v>
      </c>
      <c r="C16" s="31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</row>
    <row r="17" spans="2:34" x14ac:dyDescent="0.25">
      <c r="B17" s="31" t="s">
        <v>276</v>
      </c>
      <c r="C17" s="31" t="s">
        <v>316</v>
      </c>
      <c r="D17" s="200">
        <f>'Investitii-constante'!E7</f>
        <v>0</v>
      </c>
      <c r="E17" s="200">
        <f>'Investitii-constante'!F38*86%</f>
        <v>3642618.6453600004</v>
      </c>
      <c r="F17" s="200">
        <f>'Investitii-constante'!G38*86%</f>
        <v>3642618.6453600004</v>
      </c>
      <c r="G17" s="200">
        <f>'Investitii-constante'!H38*86%</f>
        <v>3642618.6453600004</v>
      </c>
      <c r="H17" s="200">
        <f>'Investitii-constante'!I38*86%</f>
        <v>3642618.6453600004</v>
      </c>
      <c r="I17" s="200">
        <f>'Investitii-constante'!J38*86%</f>
        <v>3642618.6453600004</v>
      </c>
      <c r="J17" s="200">
        <f>'Investitii-constante'!K38*86%</f>
        <v>3642618.6453600004</v>
      </c>
      <c r="K17" s="200">
        <f>'Investitii-constante'!L38*86%</f>
        <v>3642618.6453600004</v>
      </c>
      <c r="L17" s="200">
        <f>'Investitii-constante'!M38*86%</f>
        <v>13765914.656880002</v>
      </c>
      <c r="M17" s="200">
        <f>'Investitii-constante'!N38*86%</f>
        <v>15453130.658800002</v>
      </c>
      <c r="N17" s="200">
        <f>'Investitii-constante'!O38*86%</f>
        <v>15453130.658800002</v>
      </c>
      <c r="O17" s="200">
        <f>'Investitii-constante'!P38*86%</f>
        <v>23501380.183599994</v>
      </c>
      <c r="P17" s="200">
        <f>'Investitii-constante'!Q38*86%</f>
        <v>23501380.183599994</v>
      </c>
      <c r="Q17" s="200">
        <f>'Investitii-constante'!R38*86%</f>
        <v>23501380.183599994</v>
      </c>
      <c r="R17" s="200">
        <f>'Investitii-constante'!S38*86%</f>
        <v>23501380.183599994</v>
      </c>
      <c r="S17" s="200">
        <f>'Investitii-constante'!T38*86%</f>
        <v>318372.24571428576</v>
      </c>
      <c r="T17" s="200">
        <f>'Investitii-constante'!U38*86%</f>
        <v>318372.24571428576</v>
      </c>
      <c r="U17" s="200">
        <f>'Investitii-constante'!V38*86%</f>
        <v>318372.24571428576</v>
      </c>
      <c r="V17" s="200">
        <f>'Investitii-constante'!W38</f>
        <v>370200.2857142858</v>
      </c>
      <c r="W17" s="200">
        <f>'Investitii-constante'!X38</f>
        <v>370200.2857142858</v>
      </c>
      <c r="X17" s="200">
        <f>'Investitii-constante'!Y38</f>
        <v>370200.2857142858</v>
      </c>
      <c r="Y17" s="200">
        <f>'Investitii-constante'!Z38</f>
        <v>370200.2857142858</v>
      </c>
      <c r="Z17" s="200">
        <f>'Investitii-constante'!AA38</f>
        <v>0</v>
      </c>
      <c r="AA17" s="200">
        <f>'Investitii-constante'!AB38</f>
        <v>0</v>
      </c>
      <c r="AB17" s="200">
        <f>'Investitii-constante'!AC38</f>
        <v>0</v>
      </c>
      <c r="AC17" s="200">
        <f>'Investitii-constante'!AD38</f>
        <v>0</v>
      </c>
      <c r="AD17" s="200">
        <f>'Investitii-constante'!AE38</f>
        <v>0</v>
      </c>
      <c r="AE17" s="200">
        <f>'Investitii-constante'!AF38</f>
        <v>0</v>
      </c>
      <c r="AF17" s="200">
        <f>'Investitii-constante'!AG38</f>
        <v>0</v>
      </c>
      <c r="AG17" s="200">
        <f>'Investitii-constante'!AH38</f>
        <v>0</v>
      </c>
      <c r="AH17" s="200">
        <f>'Investitii-constante'!AI38</f>
        <v>0</v>
      </c>
    </row>
    <row r="18" spans="2:34" x14ac:dyDescent="0.25">
      <c r="B18" s="31" t="s">
        <v>277</v>
      </c>
      <c r="C18" s="31" t="s">
        <v>316</v>
      </c>
      <c r="D18" s="200">
        <f>'Investitii-constante'!E44</f>
        <v>0</v>
      </c>
      <c r="E18" s="200">
        <f>'Investitii-constante'!F44</f>
        <v>0</v>
      </c>
      <c r="F18" s="200">
        <f>'Investitii-constante'!G44</f>
        <v>0</v>
      </c>
      <c r="G18" s="200">
        <f>'Investitii-constante'!H44</f>
        <v>0</v>
      </c>
      <c r="H18" s="200">
        <f>'Investitii-constante'!I44</f>
        <v>0</v>
      </c>
      <c r="I18" s="200">
        <f>'Investitii-constante'!J44</f>
        <v>0</v>
      </c>
      <c r="J18" s="200">
        <f>'Investitii-constante'!K44</f>
        <v>0</v>
      </c>
      <c r="K18" s="200">
        <f>'Investitii-constante'!L44</f>
        <v>0</v>
      </c>
      <c r="L18" s="200">
        <f>'Investitii-constante'!M44*86%</f>
        <v>149287.64940000002</v>
      </c>
      <c r="M18" s="200">
        <f>'Investitii-constante'!N44*86%</f>
        <v>149287.64940000002</v>
      </c>
      <c r="N18" s="200">
        <f>'Investitii-constante'!O44*86%</f>
        <v>149287.64940000002</v>
      </c>
      <c r="O18" s="200">
        <f>'Investitii-constante'!P44*86%</f>
        <v>149287.64940000002</v>
      </c>
      <c r="P18" s="200">
        <f>'Investitii-constante'!Q44*86%</f>
        <v>149287.64940000002</v>
      </c>
      <c r="Q18" s="200">
        <f>'Investitii-constante'!R44*86%</f>
        <v>149287.64940000002</v>
      </c>
      <c r="R18" s="200">
        <f>'Investitii-constante'!S44*86%</f>
        <v>149287.64940000002</v>
      </c>
      <c r="S18" s="200">
        <f>'Investitii-constante'!T44*86%</f>
        <v>564176.83020000008</v>
      </c>
      <c r="T18" s="200">
        <f>'Investitii-constante'!U44*86%</f>
        <v>633325.027</v>
      </c>
      <c r="U18" s="200">
        <f>'Investitii-constante'!V44*86%</f>
        <v>633325.027</v>
      </c>
      <c r="V18" s="200">
        <f>'Investitii-constante'!W44*86%</f>
        <v>963171.31900000013</v>
      </c>
      <c r="W18" s="200">
        <f>'Investitii-constante'!X44*86%</f>
        <v>963171.31900000013</v>
      </c>
      <c r="X18" s="200">
        <f>'Investitii-constante'!Y44*86%</f>
        <v>963171.31900000013</v>
      </c>
      <c r="Y18" s="200">
        <f>'Investitii-constante'!Z44*86%</f>
        <v>963171.31900000013</v>
      </c>
      <c r="Z18" s="200">
        <f>'Investitii-constante'!AA44*86%</f>
        <v>13048.042857142858</v>
      </c>
      <c r="AA18" s="200">
        <f>'Investitii-constante'!AB44*86%</f>
        <v>13048.042857142858</v>
      </c>
      <c r="AB18" s="200">
        <f>'Investitii-constante'!AC44*86%</f>
        <v>13048.042857142858</v>
      </c>
      <c r="AC18" s="200">
        <f>'Investitii-constante'!AD44*86%</f>
        <v>13048.042857142858</v>
      </c>
      <c r="AD18" s="200">
        <f>'Investitii-constante'!AE44*86%</f>
        <v>13048.042857142858</v>
      </c>
      <c r="AE18" s="200">
        <f>'Investitii-constante'!AF44*86%</f>
        <v>13048.042857142858</v>
      </c>
      <c r="AF18" s="200">
        <f>'Investitii-constante'!AG44*86%</f>
        <v>13048.042857142858</v>
      </c>
      <c r="AG18" s="200">
        <f>'Investitii-constante'!AH44*86%</f>
        <v>13048.042857142858</v>
      </c>
      <c r="AH18" s="200">
        <f>'Investitii-constante'!AI44*86%</f>
        <v>13048.042857142858</v>
      </c>
    </row>
    <row r="19" spans="2:34" x14ac:dyDescent="0.25">
      <c r="B19" s="31" t="s">
        <v>278</v>
      </c>
      <c r="C19" s="31" t="s">
        <v>316</v>
      </c>
      <c r="D19" s="200">
        <f>'[18]Cost canal_ Cluster_v01'!E106</f>
        <v>305570.59151020873</v>
      </c>
      <c r="E19" s="200">
        <f>'[18]Cost canal_ Cluster_v01'!F106</f>
        <v>360636.95596734987</v>
      </c>
      <c r="F19" s="200">
        <f>'[18]Cost canal_ Cluster_v01'!G106</f>
        <v>555164.65142372251</v>
      </c>
      <c r="G19" s="200">
        <f>'[18]Cost canal_ Cluster_v01'!H106</f>
        <v>856018.86094527796</v>
      </c>
      <c r="H19" s="200">
        <f>'[18]Cost canal_ Cluster_v01'!I106</f>
        <v>1153196.1820543502</v>
      </c>
      <c r="I19" s="200">
        <f>'[18]Cost canal_ Cluster_v01'!J106</f>
        <v>1431381.5821666284</v>
      </c>
      <c r="J19" s="200">
        <f>'[18]Cost canal_ Cluster_v01'!K106</f>
        <v>1658291.0610812218</v>
      </c>
      <c r="K19" s="200">
        <f>'[18]Cost canal_ Cluster_v01'!L106</f>
        <v>1896300.1686605162</v>
      </c>
      <c r="L19" s="200">
        <f>'[18]Cost canal_ Cluster_v01'!M106</f>
        <v>2102683.4541720273</v>
      </c>
      <c r="M19" s="200">
        <f>'[18]Cost canal_ Cluster_v01'!N106</f>
        <v>2355500.0617705639</v>
      </c>
      <c r="N19" s="200">
        <f>'[18]Cost canal_ Cluster_v01'!O106</f>
        <v>2626009.0623712987</v>
      </c>
      <c r="O19" s="200">
        <f>'[18]Cost canal_ Cluster_v01'!P106</f>
        <v>2873890.6911099358</v>
      </c>
      <c r="P19" s="200">
        <f>'[18]Cost canal_ Cluster_v01'!Q106</f>
        <v>3101350.0503335968</v>
      </c>
      <c r="Q19" s="200">
        <f>'[18]Cost canal_ Cluster_v01'!R106</f>
        <v>3226630.1725103441</v>
      </c>
      <c r="R19" s="200">
        <f>'[18]Cost canal_ Cluster_v01'!S106</f>
        <v>3311013.2191111995</v>
      </c>
      <c r="S19" s="200">
        <f>'[18]Cost canal_ Cluster_v01'!T106</f>
        <v>3392072.5612536715</v>
      </c>
      <c r="T19" s="200">
        <f>'[18]Cost canal_ Cluster_v01'!U106</f>
        <v>3448807.0544095254</v>
      </c>
      <c r="U19" s="200">
        <f>'[18]Cost canal_ Cluster_v01'!V106</f>
        <v>3498811.4462553826</v>
      </c>
      <c r="V19" s="200">
        <f>'[18]Cost canal_ Cluster_v01'!W106</f>
        <v>3531129.1479035453</v>
      </c>
      <c r="W19" s="200">
        <f>'[18]Cost canal_ Cluster_v01'!X106</f>
        <v>3556853.8918778333</v>
      </c>
      <c r="X19" s="200">
        <f>'[18]Cost canal_ Cluster_v01'!Y106</f>
        <v>3581975.8444406632</v>
      </c>
      <c r="Y19" s="200">
        <f>'[18]Cost canal_ Cluster_v01'!Z106</f>
        <v>3605642.1476915921</v>
      </c>
      <c r="Z19" s="200">
        <f>'[18]Cost canal_ Cluster_v01'!AA106</f>
        <v>3629626.1000532988</v>
      </c>
      <c r="AA19" s="200">
        <f>'[18]Cost canal_ Cluster_v01'!AB106</f>
        <v>3655861.0842896677</v>
      </c>
      <c r="AB19" s="200">
        <f>'[18]Cost canal_ Cluster_v01'!AC106</f>
        <v>3676316.422018616</v>
      </c>
      <c r="AC19" s="200">
        <f>'[18]Cost canal_ Cluster_v01'!AD106</f>
        <v>4761472.059624332</v>
      </c>
      <c r="AD19" s="200">
        <f>'[18]Cost canal_ Cluster_v01'!AE106</f>
        <v>3721418.2268403382</v>
      </c>
      <c r="AE19" s="200">
        <f>'[18]Cost canal_ Cluster_v01'!AF106</f>
        <v>3737279.6396458931</v>
      </c>
      <c r="AF19" s="200">
        <f>'[18]Cost canal_ Cluster_v01'!AG106</f>
        <v>3756515.2993014483</v>
      </c>
      <c r="AG19" s="200">
        <f>'[18]Cost canal_ Cluster_v01'!AH106</f>
        <v>3765111.1793114096</v>
      </c>
      <c r="AH19" s="200">
        <f>'[18]Cost canal_ Cluster_v01'!AI106</f>
        <v>3777128.0455553695</v>
      </c>
    </row>
    <row r="20" spans="2:34" x14ac:dyDescent="0.25">
      <c r="B20" s="96" t="s">
        <v>279</v>
      </c>
      <c r="C20" s="31" t="s">
        <v>316</v>
      </c>
      <c r="D20" s="200">
        <f>SUM(D17:D19)</f>
        <v>305570.59151020873</v>
      </c>
      <c r="E20" s="200">
        <f t="shared" ref="E20:AH20" si="3">SUM(E17:E19)</f>
        <v>4003255.6013273504</v>
      </c>
      <c r="F20" s="200">
        <f t="shared" si="3"/>
        <v>4197783.2967837229</v>
      </c>
      <c r="G20" s="200">
        <f t="shared" si="3"/>
        <v>4498637.5063052783</v>
      </c>
      <c r="H20" s="200">
        <f t="shared" si="3"/>
        <v>4795814.8274143506</v>
      </c>
      <c r="I20" s="200">
        <f t="shared" si="3"/>
        <v>5074000.2275266293</v>
      </c>
      <c r="J20" s="200">
        <f t="shared" si="3"/>
        <v>5300909.7064412218</v>
      </c>
      <c r="K20" s="200">
        <f t="shared" si="3"/>
        <v>5538918.8140205164</v>
      </c>
      <c r="L20" s="200">
        <f t="shared" si="3"/>
        <v>16017885.760452028</v>
      </c>
      <c r="M20" s="200">
        <f t="shared" si="3"/>
        <v>17957918.369970568</v>
      </c>
      <c r="N20" s="200">
        <f t="shared" si="3"/>
        <v>18228427.3705713</v>
      </c>
      <c r="O20" s="200">
        <f t="shared" si="3"/>
        <v>26524558.52410993</v>
      </c>
      <c r="P20" s="200">
        <f t="shared" si="3"/>
        <v>26752017.88333359</v>
      </c>
      <c r="Q20" s="200">
        <f t="shared" si="3"/>
        <v>26877298.005510338</v>
      </c>
      <c r="R20" s="200">
        <f t="shared" si="3"/>
        <v>26961681.052111194</v>
      </c>
      <c r="S20" s="200">
        <f t="shared" si="3"/>
        <v>4274621.6371679576</v>
      </c>
      <c r="T20" s="200">
        <f t="shared" si="3"/>
        <v>4400504.3271238115</v>
      </c>
      <c r="U20" s="200">
        <f t="shared" si="3"/>
        <v>4450508.7189696683</v>
      </c>
      <c r="V20" s="200">
        <f t="shared" si="3"/>
        <v>4864500.7526178313</v>
      </c>
      <c r="W20" s="200">
        <f t="shared" si="3"/>
        <v>4890225.4965921193</v>
      </c>
      <c r="X20" s="200">
        <f t="shared" si="3"/>
        <v>4915347.4491549488</v>
      </c>
      <c r="Y20" s="200">
        <f t="shared" si="3"/>
        <v>4939013.7524058782</v>
      </c>
      <c r="Z20" s="200">
        <f t="shared" si="3"/>
        <v>3642674.1429104414</v>
      </c>
      <c r="AA20" s="200">
        <f t="shared" si="3"/>
        <v>3668909.1271468103</v>
      </c>
      <c r="AB20" s="200">
        <f t="shared" si="3"/>
        <v>3689364.4648757586</v>
      </c>
      <c r="AC20" s="200">
        <f t="shared" si="3"/>
        <v>4774520.1024814751</v>
      </c>
      <c r="AD20" s="200">
        <f t="shared" si="3"/>
        <v>3734466.2696974808</v>
      </c>
      <c r="AE20" s="200">
        <f t="shared" si="3"/>
        <v>3750327.6825030358</v>
      </c>
      <c r="AF20" s="200">
        <f t="shared" si="3"/>
        <v>3769563.3421585909</v>
      </c>
      <c r="AG20" s="200">
        <f t="shared" si="3"/>
        <v>3778159.2221685522</v>
      </c>
      <c r="AH20" s="200">
        <f t="shared" si="3"/>
        <v>3790176.0884125121</v>
      </c>
    </row>
    <row r="21" spans="2:34" x14ac:dyDescent="0.25">
      <c r="B21" s="31" t="s">
        <v>524</v>
      </c>
      <c r="C21" s="31" t="s">
        <v>273</v>
      </c>
      <c r="D21" s="200">
        <f>'[18]Volum apa uzata'!D99</f>
        <v>927673.48167933337</v>
      </c>
      <c r="E21" s="200">
        <f>'[18]Volum apa uzata'!E99</f>
        <v>1098623.137779044</v>
      </c>
      <c r="F21" s="200">
        <f>'[18]Volum apa uzata'!F99</f>
        <v>1638592.9913113844</v>
      </c>
      <c r="G21" s="200">
        <f>'[18]Volum apa uzata'!G99</f>
        <v>2582650.1026343238</v>
      </c>
      <c r="H21" s="200">
        <f>'[18]Volum apa uzata'!H99</f>
        <v>3313390.7329908404</v>
      </c>
      <c r="I21" s="200">
        <f>'[18]Volum apa uzata'!I99</f>
        <v>4120805.6437481586</v>
      </c>
      <c r="J21" s="200">
        <f>'[18]Volum apa uzata'!J99</f>
        <v>4698407.5528359115</v>
      </c>
      <c r="K21" s="200">
        <f>'[18]Volum apa uzata'!K99</f>
        <v>5298768.6950067505</v>
      </c>
      <c r="L21" s="200">
        <f>'[18]Volum apa uzata'!L99</f>
        <v>5746630.5482793227</v>
      </c>
      <c r="M21" s="200">
        <f>'[18]Volum apa uzata'!M99</f>
        <v>6306933.8602704611</v>
      </c>
      <c r="N21" s="200">
        <f>'[18]Volum apa uzata'!N99</f>
        <v>6899925.245063737</v>
      </c>
      <c r="O21" s="200">
        <f>'[18]Volum apa uzata'!O99</f>
        <v>7416665.7449985705</v>
      </c>
      <c r="P21" s="200">
        <f>'[18]Volum apa uzata'!P99</f>
        <v>7889102.5059242044</v>
      </c>
      <c r="Q21" s="200">
        <f>'[18]Volum apa uzata'!Q99</f>
        <v>8197753.1216120571</v>
      </c>
      <c r="R21" s="200">
        <f>'[18]Volum apa uzata'!R99</f>
        <v>8415410.8870426752</v>
      </c>
      <c r="S21" s="200">
        <f>'[18]Volum apa uzata'!S99</f>
        <v>8615832.7837720141</v>
      </c>
      <c r="T21" s="200">
        <f>'[18]Volum apa uzata'!T99</f>
        <v>8762936.689440012</v>
      </c>
      <c r="U21" s="200">
        <f>'[18]Volum apa uzata'!U99</f>
        <v>8893314.9631279632</v>
      </c>
      <c r="V21" s="200">
        <f>'[18]Volum apa uzata'!V99</f>
        <v>8970752.9795679543</v>
      </c>
      <c r="W21" s="200">
        <f>'[18]Volum apa uzata'!W99</f>
        <v>9026084.0425008126</v>
      </c>
      <c r="X21" s="200">
        <f>'[18]Volum apa uzata'!X99</f>
        <v>9080577.7693178244</v>
      </c>
      <c r="Y21" s="200">
        <f>'[18]Volum apa uzata'!Y99</f>
        <v>9128303.3246492296</v>
      </c>
      <c r="Z21" s="200">
        <f>'[18]Volum apa uzata'!Z99</f>
        <v>9177725.9554585554</v>
      </c>
      <c r="AA21" s="200">
        <f>'[18]Volum apa uzata'!AA99</f>
        <v>9234116.7906107623</v>
      </c>
      <c r="AB21" s="200">
        <f>'[18]Volum apa uzata'!AB99</f>
        <v>9275055.2068060394</v>
      </c>
      <c r="AC21" s="200">
        <f>'[18]Volum apa uzata'!AC99</f>
        <v>11987971.764252022</v>
      </c>
      <c r="AD21" s="200">
        <f>'[18]Volum apa uzata'!AD99</f>
        <v>9367806.6702005938</v>
      </c>
      <c r="AE21" s="200">
        <f>'[18]Volum apa uzata'!AE99</f>
        <v>9397459.4911272135</v>
      </c>
      <c r="AF21" s="200">
        <f>'[18]Volum apa uzata'!AF99</f>
        <v>9436185.7989169601</v>
      </c>
      <c r="AG21" s="200">
        <f>'[18]Volum apa uzata'!AG99</f>
        <v>9444106.3573280945</v>
      </c>
      <c r="AH21" s="200">
        <f>'[18]Volum apa uzata'!AH99</f>
        <v>9462273.6399627253</v>
      </c>
    </row>
    <row r="22" spans="2:34" x14ac:dyDescent="0.25">
      <c r="B22" s="31" t="s">
        <v>317</v>
      </c>
      <c r="C22" s="31" t="s">
        <v>288</v>
      </c>
      <c r="D22" s="201">
        <f>D20/D21</f>
        <v>0.32939455265773626</v>
      </c>
      <c r="E22" s="201">
        <f t="shared" ref="E22:AH22" si="4">E20/E21</f>
        <v>3.6438842981409048</v>
      </c>
      <c r="F22" s="201">
        <f t="shared" si="4"/>
        <v>2.5618218307062266</v>
      </c>
      <c r="G22" s="201">
        <f t="shared" si="4"/>
        <v>1.7418687501325216</v>
      </c>
      <c r="H22" s="201">
        <f t="shared" si="4"/>
        <v>1.447403947763624</v>
      </c>
      <c r="I22" s="201">
        <f t="shared" si="4"/>
        <v>1.2313126767394627</v>
      </c>
      <c r="J22" s="201">
        <f t="shared" si="4"/>
        <v>1.1282353961059948</v>
      </c>
      <c r="K22" s="201">
        <f t="shared" si="4"/>
        <v>1.0453218724644593</v>
      </c>
      <c r="L22" s="201">
        <f t="shared" si="4"/>
        <v>2.7873526279235339</v>
      </c>
      <c r="M22" s="201">
        <f t="shared" si="4"/>
        <v>2.8473294262832933</v>
      </c>
      <c r="N22" s="201">
        <f t="shared" si="4"/>
        <v>2.6418296899103462</v>
      </c>
      <c r="O22" s="201">
        <f t="shared" si="4"/>
        <v>3.5763454139748401</v>
      </c>
      <c r="P22" s="201">
        <f t="shared" si="4"/>
        <v>3.3910090359764702</v>
      </c>
      <c r="Q22" s="201">
        <f t="shared" si="4"/>
        <v>3.27861764154042</v>
      </c>
      <c r="R22" s="201">
        <f t="shared" si="4"/>
        <v>3.203846064560492</v>
      </c>
      <c r="S22" s="201">
        <f t="shared" si="4"/>
        <v>0.49613563127864313</v>
      </c>
      <c r="T22" s="201">
        <f t="shared" si="4"/>
        <v>0.50217232910363774</v>
      </c>
      <c r="U22" s="201">
        <f t="shared" si="4"/>
        <v>0.50043304857880933</v>
      </c>
      <c r="V22" s="201">
        <f t="shared" si="4"/>
        <v>0.54226225643458903</v>
      </c>
      <c r="W22" s="201">
        <f t="shared" si="4"/>
        <v>0.54178816345667535</v>
      </c>
      <c r="X22" s="201">
        <f t="shared" si="4"/>
        <v>0.54130338113102383</v>
      </c>
      <c r="Y22" s="201">
        <f t="shared" si="4"/>
        <v>0.54106591079954802</v>
      </c>
      <c r="Z22" s="201">
        <f t="shared" si="4"/>
        <v>0.39690378211216037</v>
      </c>
      <c r="AA22" s="201">
        <f t="shared" si="4"/>
        <v>0.39732106603604495</v>
      </c>
      <c r="AB22" s="201">
        <f t="shared" si="4"/>
        <v>0.39777277683139844</v>
      </c>
      <c r="AC22" s="201">
        <f t="shared" si="4"/>
        <v>0.39827588822981991</v>
      </c>
      <c r="AD22" s="201">
        <f t="shared" si="4"/>
        <v>0.3986489475254632</v>
      </c>
      <c r="AE22" s="201">
        <f t="shared" si="4"/>
        <v>0.39907888786793683</v>
      </c>
      <c r="AF22" s="201">
        <f t="shared" si="4"/>
        <v>0.39947955905989507</v>
      </c>
      <c r="AG22" s="201">
        <f t="shared" si="4"/>
        <v>0.40005470917181207</v>
      </c>
      <c r="AH22" s="201">
        <f t="shared" si="4"/>
        <v>0.40055659269936761</v>
      </c>
    </row>
    <row r="24" spans="2:34" ht="15.75" thickBot="1" x14ac:dyDescent="0.3">
      <c r="B24" s="35" t="s">
        <v>301</v>
      </c>
      <c r="C24" s="105">
        <v>0.05</v>
      </c>
    </row>
    <row r="25" spans="2:34" ht="30.75" thickBot="1" x14ac:dyDescent="0.3">
      <c r="B25" s="228" t="s">
        <v>345</v>
      </c>
      <c r="C25" s="229" t="s">
        <v>302</v>
      </c>
      <c r="D25" s="230" t="s">
        <v>19</v>
      </c>
      <c r="E25" s="225" t="s">
        <v>303</v>
      </c>
    </row>
    <row r="26" spans="2:34" x14ac:dyDescent="0.25">
      <c r="B26" s="71" t="s">
        <v>341</v>
      </c>
      <c r="C26" s="87">
        <f>SUM(D8:K8)</f>
        <v>6748715.545880002</v>
      </c>
      <c r="D26" s="88">
        <f>SUM(D17:K17)</f>
        <v>25498330.517520003</v>
      </c>
      <c r="E26" s="89">
        <f>C26+D26</f>
        <v>32247046.063400004</v>
      </c>
    </row>
    <row r="27" spans="2:34" x14ac:dyDescent="0.25">
      <c r="B27" s="32" t="s">
        <v>342</v>
      </c>
      <c r="C27" s="81">
        <f>SUM(D9:K9)</f>
        <v>0</v>
      </c>
      <c r="D27" s="82">
        <f t="shared" ref="D27:D29" si="5">SUM(D18:K18)</f>
        <v>0</v>
      </c>
      <c r="E27" s="83">
        <f t="shared" ref="E27:E29" si="6">C27+D27</f>
        <v>0</v>
      </c>
    </row>
    <row r="28" spans="2:34" x14ac:dyDescent="0.25">
      <c r="B28" s="32" t="s">
        <v>343</v>
      </c>
      <c r="C28" s="81">
        <f>SUM(D10:K10)</f>
        <v>6777663.6559644779</v>
      </c>
      <c r="D28" s="82">
        <f t="shared" si="5"/>
        <v>8216560.0538092759</v>
      </c>
      <c r="E28" s="83">
        <f t="shared" si="6"/>
        <v>14994223.709773753</v>
      </c>
    </row>
    <row r="29" spans="2:34" ht="15.75" thickBot="1" x14ac:dyDescent="0.3">
      <c r="B29" s="78" t="s">
        <v>344</v>
      </c>
      <c r="C29" s="84">
        <f>SUM(D11:K11)</f>
        <v>13526379.20184448</v>
      </c>
      <c r="D29" s="85">
        <f t="shared" si="5"/>
        <v>33714890.571329273</v>
      </c>
      <c r="E29" s="86">
        <f t="shared" si="6"/>
        <v>47241269.773173749</v>
      </c>
    </row>
    <row r="30" spans="2:34" ht="15.75" thickBot="1" x14ac:dyDescent="0.3"/>
    <row r="31" spans="2:34" ht="30.75" thickBot="1" x14ac:dyDescent="0.3">
      <c r="B31" s="228" t="s">
        <v>346</v>
      </c>
      <c r="C31" s="229" t="s">
        <v>302</v>
      </c>
      <c r="D31" s="230" t="s">
        <v>19</v>
      </c>
      <c r="E31" s="225" t="s">
        <v>303</v>
      </c>
    </row>
    <row r="32" spans="2:34" x14ac:dyDescent="0.25">
      <c r="B32" s="71" t="s">
        <v>341</v>
      </c>
      <c r="C32" s="88">
        <f>SUM(L8:P8)</f>
        <v>84466745.007019982</v>
      </c>
      <c r="D32" s="88">
        <f>SUM(L17:P17)</f>
        <v>91674936.34167999</v>
      </c>
      <c r="E32" s="89">
        <f>C32+D32</f>
        <v>176141681.34869999</v>
      </c>
    </row>
    <row r="33" spans="2:5" x14ac:dyDescent="0.25">
      <c r="B33" s="32" t="s">
        <v>342</v>
      </c>
      <c r="C33" s="82">
        <f t="shared" ref="C33:C35" si="7">SUM(L9:P9)</f>
        <v>197561.93050000005</v>
      </c>
      <c r="D33" s="82">
        <f t="shared" ref="D33:D35" si="8">SUM(L18:P18)</f>
        <v>746438.24700000009</v>
      </c>
      <c r="E33" s="83">
        <f t="shared" ref="E33:E35" si="9">C33+D33</f>
        <v>944000.17750000011</v>
      </c>
    </row>
    <row r="34" spans="2:5" x14ac:dyDescent="0.25">
      <c r="B34" s="32" t="s">
        <v>343</v>
      </c>
      <c r="C34" s="82">
        <f t="shared" si="7"/>
        <v>6759443.5783778653</v>
      </c>
      <c r="D34" s="82">
        <f t="shared" si="8"/>
        <v>13059433.319757422</v>
      </c>
      <c r="E34" s="83">
        <f t="shared" si="9"/>
        <v>19818876.89813529</v>
      </c>
    </row>
    <row r="35" spans="2:5" ht="15.75" thickBot="1" x14ac:dyDescent="0.3">
      <c r="B35" s="78" t="s">
        <v>344</v>
      </c>
      <c r="C35" s="85">
        <f t="shared" si="7"/>
        <v>91423750.51589784</v>
      </c>
      <c r="D35" s="85">
        <f t="shared" si="8"/>
        <v>105480807.90843742</v>
      </c>
      <c r="E35" s="86">
        <f t="shared" si="9"/>
        <v>196904558.42433524</v>
      </c>
    </row>
    <row r="36" spans="2:5" ht="15.75" thickBot="1" x14ac:dyDescent="0.3"/>
    <row r="37" spans="2:5" ht="30.75" thickBot="1" x14ac:dyDescent="0.3">
      <c r="B37" s="228" t="s">
        <v>347</v>
      </c>
      <c r="C37" s="229" t="s">
        <v>302</v>
      </c>
      <c r="D37" s="230" t="s">
        <v>19</v>
      </c>
      <c r="E37" s="225" t="s">
        <v>303</v>
      </c>
    </row>
    <row r="38" spans="2:5" x14ac:dyDescent="0.25">
      <c r="B38" s="71" t="s">
        <v>341</v>
      </c>
      <c r="C38" s="88">
        <f>SUM(Q8:U8)</f>
        <v>8279263.1677000001</v>
      </c>
      <c r="D38" s="88">
        <f>SUM(Q17:U17)</f>
        <v>47957877.104342841</v>
      </c>
      <c r="E38" s="89">
        <f>C38+D38</f>
        <v>56237140.272042841</v>
      </c>
    </row>
    <row r="39" spans="2:5" x14ac:dyDescent="0.25">
      <c r="B39" s="32" t="s">
        <v>342</v>
      </c>
      <c r="C39" s="82">
        <f>SUM(Q9:U9)</f>
        <v>3201462.5525000002</v>
      </c>
      <c r="D39" s="82">
        <f>SUM(Q18:U18)</f>
        <v>2129402.1830000002</v>
      </c>
      <c r="E39" s="83">
        <f t="shared" ref="E39:E41" si="10">C39+D39</f>
        <v>5330864.7355000004</v>
      </c>
    </row>
    <row r="40" spans="2:5" x14ac:dyDescent="0.25">
      <c r="B40" s="32" t="s">
        <v>343</v>
      </c>
      <c r="C40" s="82">
        <f>SUM(Q10:U10)</f>
        <v>7554524.8777516009</v>
      </c>
      <c r="D40" s="82">
        <f>SUM(Q19:U19)</f>
        <v>16877334.453540124</v>
      </c>
      <c r="E40" s="83">
        <f t="shared" si="10"/>
        <v>24431859.331291724</v>
      </c>
    </row>
    <row r="41" spans="2:5" ht="15.75" thickBot="1" x14ac:dyDescent="0.3">
      <c r="B41" s="78" t="s">
        <v>344</v>
      </c>
      <c r="C41" s="85">
        <f>SUM(Q11:U11)</f>
        <v>19035250.597951602</v>
      </c>
      <c r="D41" s="85">
        <f>SUM(Q20:U20)</f>
        <v>66964613.74088297</v>
      </c>
      <c r="E41" s="86">
        <f t="shared" si="10"/>
        <v>85999864.338834569</v>
      </c>
    </row>
    <row r="42" spans="2:5" ht="15.75" thickBot="1" x14ac:dyDescent="0.3"/>
    <row r="43" spans="2:5" ht="30.75" thickBot="1" x14ac:dyDescent="0.3">
      <c r="B43" s="228" t="s">
        <v>318</v>
      </c>
      <c r="C43" s="229" t="s">
        <v>302</v>
      </c>
      <c r="D43" s="230" t="s">
        <v>19</v>
      </c>
      <c r="E43" s="225" t="s">
        <v>303</v>
      </c>
    </row>
    <row r="44" spans="2:5" x14ac:dyDescent="0.25">
      <c r="B44" s="71" t="s">
        <v>303</v>
      </c>
      <c r="C44" s="255">
        <f>(D11+NPV(rata,E11:AH11))/(D12+NPV(rata,E12:AH12))</f>
        <v>0.65814896244972532</v>
      </c>
      <c r="D44" s="255">
        <f>(D20+NPV(rata,E20:AH20))/(D21+NPV(rata,E21:AH21))</f>
        <v>1.4424326340953075</v>
      </c>
      <c r="E44" s="256">
        <f t="shared" ref="E44:E46" si="11">C44+D44</f>
        <v>2.100581596545033</v>
      </c>
    </row>
    <row r="45" spans="2:5" x14ac:dyDescent="0.25">
      <c r="B45" s="32" t="s">
        <v>304</v>
      </c>
      <c r="C45" s="257">
        <f>(D8+NPV(rata,E8:AH8))/(D12+NPV(rata,E12:AH12))</f>
        <v>0.4915230370909574</v>
      </c>
      <c r="D45" s="257">
        <f>(D17+NPV(rata,E17:AH17))/(D21+NPV(rata,E21:AH21))</f>
        <v>1.0296593306987802</v>
      </c>
      <c r="E45" s="258">
        <f>(C45+D45)</f>
        <v>1.5211823677897376</v>
      </c>
    </row>
    <row r="46" spans="2:5" x14ac:dyDescent="0.25">
      <c r="B46" s="32" t="s">
        <v>305</v>
      </c>
      <c r="C46" s="257">
        <f>(D9+NPV(rata,E9:AH9))/(D12+NPV(rata,E12:AH12))</f>
        <v>1.431623958153273E-2</v>
      </c>
      <c r="D46" s="257">
        <f>(D18+NPV(rata,E18:AH18))/(D21+NPV(rata,E21:AH21))</f>
        <v>3.0029045541701656E-2</v>
      </c>
      <c r="E46" s="258">
        <f t="shared" si="11"/>
        <v>4.4345285123234386E-2</v>
      </c>
    </row>
    <row r="47" spans="2:5" ht="15.75" thickBot="1" x14ac:dyDescent="0.3">
      <c r="B47" s="78" t="s">
        <v>306</v>
      </c>
      <c r="C47" s="259">
        <f>(D10+NPV(rata,E10:AH10))/(D12+NPV(rata,E12:AH12))</f>
        <v>0.15230968577723489</v>
      </c>
      <c r="D47" s="259">
        <f>(D19+NPV(rata,E19:AH19))/(D21+NPV(rata,E21:AH21))</f>
        <v>0.38274425785482546</v>
      </c>
      <c r="E47" s="260">
        <f>C47+D47</f>
        <v>0.53505394363206038</v>
      </c>
    </row>
    <row r="49" spans="2:7" ht="15.75" thickBot="1" x14ac:dyDescent="0.3"/>
    <row r="50" spans="2:7" ht="30.75" thickBot="1" x14ac:dyDescent="0.3">
      <c r="B50" s="231" t="s">
        <v>319</v>
      </c>
      <c r="C50" s="229" t="s">
        <v>302</v>
      </c>
      <c r="D50" s="230" t="s">
        <v>19</v>
      </c>
      <c r="E50" s="225" t="s">
        <v>303</v>
      </c>
    </row>
    <row r="51" spans="2:7" x14ac:dyDescent="0.25">
      <c r="B51" s="71" t="s">
        <v>303</v>
      </c>
      <c r="C51" s="250">
        <f>C44*Ipoteze!$F$64</f>
        <v>2.908360265065336</v>
      </c>
      <c r="D51" s="250">
        <f>D44*Ipoteze!$F$64</f>
        <v>6.3741098100671634</v>
      </c>
      <c r="E51" s="251">
        <f>E44*Ipoteze!$F$64</f>
        <v>9.2824700751324993</v>
      </c>
      <c r="G51" s="41"/>
    </row>
    <row r="52" spans="2:7" x14ac:dyDescent="0.25">
      <c r="B52" s="32" t="s">
        <v>304</v>
      </c>
      <c r="C52" s="76">
        <f>C45*Ipoteze!$F$64</f>
        <v>2.1720403009049405</v>
      </c>
      <c r="D52" s="76">
        <f>D45*Ipoteze!$F$64</f>
        <v>4.5500645823579093</v>
      </c>
      <c r="E52" s="77">
        <f>E45*Ipoteze!$F$64</f>
        <v>6.7221048832628494</v>
      </c>
    </row>
    <row r="53" spans="2:7" x14ac:dyDescent="0.25">
      <c r="B53" s="32" t="s">
        <v>305</v>
      </c>
      <c r="C53" s="76">
        <f>C46*Ipoteze!$F$64</f>
        <v>6.3263462710793125E-2</v>
      </c>
      <c r="D53" s="76">
        <f>D46*Ipoteze!$F$64</f>
        <v>0.1326983522487796</v>
      </c>
      <c r="E53" s="77">
        <f>E46*Ipoteze!$F$64</f>
        <v>0.19596181495957274</v>
      </c>
    </row>
    <row r="54" spans="2:7" ht="15.75" thickBot="1" x14ac:dyDescent="0.3">
      <c r="B54" s="78" t="s">
        <v>306</v>
      </c>
      <c r="C54" s="79">
        <f>C47*Ipoteze!$F$64</f>
        <v>0.67305650144960094</v>
      </c>
      <c r="D54" s="79">
        <f>D47*Ipoteze!$F$64</f>
        <v>1.6913468754604735</v>
      </c>
      <c r="E54" s="80">
        <f>E47*Ipoteze!$F$64</f>
        <v>2.3644033769100745</v>
      </c>
    </row>
  </sheetData>
  <mergeCells count="33">
    <mergeCell ref="AF5:AF6"/>
    <mergeCell ref="AG5:AG6"/>
    <mergeCell ref="AH5:AH6"/>
    <mergeCell ref="Z5:Z6"/>
    <mergeCell ref="AA5:AA6"/>
    <mergeCell ref="AB5:AB6"/>
    <mergeCell ref="AC5:AC6"/>
    <mergeCell ref="AD5:AD6"/>
    <mergeCell ref="AE5:AE6"/>
    <mergeCell ref="Y5:Y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AH54"/>
  <sheetViews>
    <sheetView zoomScale="84" zoomScaleNormal="84" workbookViewId="0">
      <selection activeCell="C64" sqref="C64"/>
    </sheetView>
  </sheetViews>
  <sheetFormatPr defaultRowHeight="15" x14ac:dyDescent="0.25"/>
  <cols>
    <col min="1" max="1" width="9.140625" style="254"/>
    <col min="2" max="2" width="36.5703125" style="254" customWidth="1"/>
    <col min="3" max="3" width="15.42578125" style="254" customWidth="1"/>
    <col min="4" max="5" width="16" style="254" customWidth="1"/>
    <col min="6" max="6" width="14.42578125" style="254" customWidth="1"/>
    <col min="7" max="7" width="16.140625" style="254" customWidth="1"/>
    <col min="8" max="8" width="15.7109375" style="254" customWidth="1"/>
    <col min="9" max="9" width="16" style="254" customWidth="1"/>
    <col min="10" max="11" width="14.42578125" style="254" customWidth="1"/>
    <col min="12" max="12" width="14.85546875" style="254" customWidth="1"/>
    <col min="13" max="13" width="14.5703125" style="254" customWidth="1"/>
    <col min="14" max="14" width="14.7109375" style="254" customWidth="1"/>
    <col min="15" max="15" width="15.42578125" style="254" customWidth="1"/>
    <col min="16" max="16" width="14.5703125" style="254" customWidth="1"/>
    <col min="17" max="21" width="17" style="254" bestFit="1" customWidth="1"/>
    <col min="22" max="23" width="15.5703125" style="254" customWidth="1"/>
    <col min="24" max="24" width="16" style="254" customWidth="1"/>
    <col min="25" max="25" width="14.42578125" style="254" customWidth="1"/>
    <col min="26" max="27" width="14.5703125" style="254" customWidth="1"/>
    <col min="28" max="29" width="14.85546875" style="254" customWidth="1"/>
    <col min="30" max="30" width="15.5703125" style="254" customWidth="1"/>
    <col min="31" max="31" width="14.42578125" style="254" customWidth="1"/>
    <col min="32" max="32" width="16.42578125" style="254" customWidth="1"/>
    <col min="33" max="33" width="14.85546875" style="254" customWidth="1"/>
    <col min="34" max="34" width="15.7109375" style="254" customWidth="1"/>
    <col min="35" max="16384" width="9.140625" style="254"/>
  </cols>
  <sheetData>
    <row r="2" spans="2:34" hidden="1" x14ac:dyDescent="0.25"/>
    <row r="3" spans="2:34" hidden="1" x14ac:dyDescent="0.25"/>
    <row r="4" spans="2:34" ht="15.75" thickBot="1" x14ac:dyDescent="0.3"/>
    <row r="5" spans="2:34" ht="15" customHeight="1" x14ac:dyDescent="0.25">
      <c r="B5" s="738" t="s">
        <v>505</v>
      </c>
      <c r="C5" s="735" t="s">
        <v>272</v>
      </c>
      <c r="D5" s="735">
        <v>2013</v>
      </c>
      <c r="E5" s="735">
        <f>D5+1</f>
        <v>2014</v>
      </c>
      <c r="F5" s="735">
        <f t="shared" ref="F5:AE5" si="0">E5+1</f>
        <v>2015</v>
      </c>
      <c r="G5" s="735">
        <f t="shared" si="0"/>
        <v>2016</v>
      </c>
      <c r="H5" s="735">
        <f t="shared" si="0"/>
        <v>2017</v>
      </c>
      <c r="I5" s="735">
        <f t="shared" si="0"/>
        <v>2018</v>
      </c>
      <c r="J5" s="735">
        <f t="shared" si="0"/>
        <v>2019</v>
      </c>
      <c r="K5" s="735">
        <f t="shared" si="0"/>
        <v>2020</v>
      </c>
      <c r="L5" s="735">
        <f t="shared" si="0"/>
        <v>2021</v>
      </c>
      <c r="M5" s="735">
        <f t="shared" si="0"/>
        <v>2022</v>
      </c>
      <c r="N5" s="735">
        <f t="shared" si="0"/>
        <v>2023</v>
      </c>
      <c r="O5" s="735">
        <f t="shared" si="0"/>
        <v>2024</v>
      </c>
      <c r="P5" s="735">
        <f t="shared" si="0"/>
        <v>2025</v>
      </c>
      <c r="Q5" s="735">
        <f t="shared" si="0"/>
        <v>2026</v>
      </c>
      <c r="R5" s="735">
        <f t="shared" si="0"/>
        <v>2027</v>
      </c>
      <c r="S5" s="735">
        <f t="shared" si="0"/>
        <v>2028</v>
      </c>
      <c r="T5" s="735">
        <f t="shared" si="0"/>
        <v>2029</v>
      </c>
      <c r="U5" s="735">
        <f t="shared" si="0"/>
        <v>2030</v>
      </c>
      <c r="V5" s="735">
        <f t="shared" si="0"/>
        <v>2031</v>
      </c>
      <c r="W5" s="735">
        <f t="shared" si="0"/>
        <v>2032</v>
      </c>
      <c r="X5" s="735">
        <f t="shared" si="0"/>
        <v>2033</v>
      </c>
      <c r="Y5" s="735">
        <f t="shared" si="0"/>
        <v>2034</v>
      </c>
      <c r="Z5" s="735">
        <f t="shared" si="0"/>
        <v>2035</v>
      </c>
      <c r="AA5" s="735">
        <f t="shared" si="0"/>
        <v>2036</v>
      </c>
      <c r="AB5" s="735">
        <f t="shared" si="0"/>
        <v>2037</v>
      </c>
      <c r="AC5" s="735">
        <f t="shared" si="0"/>
        <v>2038</v>
      </c>
      <c r="AD5" s="735">
        <f t="shared" si="0"/>
        <v>2039</v>
      </c>
      <c r="AE5" s="735">
        <f t="shared" si="0"/>
        <v>2040</v>
      </c>
      <c r="AF5" s="735">
        <f>AE5+1</f>
        <v>2041</v>
      </c>
      <c r="AG5" s="735">
        <f>AF5+1</f>
        <v>2042</v>
      </c>
      <c r="AH5" s="735">
        <f>AG5+1</f>
        <v>2043</v>
      </c>
    </row>
    <row r="6" spans="2:34" ht="15.75" customHeight="1" thickBot="1" x14ac:dyDescent="0.3">
      <c r="B6" s="739"/>
      <c r="C6" s="736"/>
      <c r="D6" s="736"/>
      <c r="E6" s="736"/>
      <c r="F6" s="736"/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</row>
    <row r="7" spans="2:34" ht="32.25" customHeight="1" thickBot="1" x14ac:dyDescent="0.3">
      <c r="B7" s="331" t="s">
        <v>275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</row>
    <row r="8" spans="2:34" x14ac:dyDescent="0.25">
      <c r="B8" s="31" t="s">
        <v>276</v>
      </c>
      <c r="C8" s="31" t="s">
        <v>316</v>
      </c>
      <c r="D8" s="200">
        <f>'Investitii-constante'!E6</f>
        <v>0</v>
      </c>
      <c r="E8" s="200">
        <f>'Investitii-constante'!F37*14%</f>
        <v>156946.87316000005</v>
      </c>
      <c r="F8" s="200">
        <f>'Investitii-constante'!G37*14%</f>
        <v>156946.87316000005</v>
      </c>
      <c r="G8" s="200">
        <f>'Investitii-constante'!H37*14%</f>
        <v>156946.87316000005</v>
      </c>
      <c r="H8" s="200">
        <f>'Investitii-constante'!I37*14%</f>
        <v>156946.87316000005</v>
      </c>
      <c r="I8" s="200">
        <f>'Investitii-constante'!J37*14%</f>
        <v>156946.87316000005</v>
      </c>
      <c r="J8" s="200">
        <f>'Investitii-constante'!K37*14%</f>
        <v>156946.87316000005</v>
      </c>
      <c r="K8" s="200">
        <f>'Investitii-constante'!L37*14%</f>
        <v>156946.87316000005</v>
      </c>
      <c r="L8" s="200">
        <f>'Investitii-constante'!M37*14%</f>
        <v>3736478.6841199994</v>
      </c>
      <c r="M8" s="200">
        <f>'Investitii-constante'!N37*14%</f>
        <v>4333067.3192799995</v>
      </c>
      <c r="N8" s="200">
        <f>'Investitii-constante'!O37*14%</f>
        <v>4333067.3192799995</v>
      </c>
      <c r="O8" s="200">
        <f>'Investitii-constante'!P37*14%</f>
        <v>673893.5136500001</v>
      </c>
      <c r="P8" s="200">
        <f>'Investitii-constante'!Q37*14%</f>
        <v>673893.5136500001</v>
      </c>
      <c r="Q8" s="200">
        <f>'Investitii-constante'!R37*14%</f>
        <v>673893.5136500001</v>
      </c>
      <c r="R8" s="200">
        <f>'Investitii-constante'!S37*14%</f>
        <v>673893.5136500001</v>
      </c>
      <c r="S8" s="200">
        <f>'Investitii-constante'!T37*14%</f>
        <v>0</v>
      </c>
      <c r="T8" s="200">
        <f>'Investitii-constante'!U37*14%</f>
        <v>0</v>
      </c>
      <c r="U8" s="200">
        <f>'Investitii-constante'!V37*14%</f>
        <v>0</v>
      </c>
      <c r="V8" s="200">
        <f>'Investitii-constante'!W37</f>
        <v>0</v>
      </c>
      <c r="W8" s="200">
        <f>'Investitii-constante'!X37</f>
        <v>0</v>
      </c>
      <c r="X8" s="200">
        <f>'Investitii-constante'!Y37</f>
        <v>0</v>
      </c>
      <c r="Y8" s="200">
        <f>'Investitii-constante'!Z37</f>
        <v>0</v>
      </c>
      <c r="Z8" s="200">
        <f>'Investitii-constante'!AA37</f>
        <v>0</v>
      </c>
      <c r="AA8" s="200">
        <f>'Investitii-constante'!AB37</f>
        <v>0</v>
      </c>
      <c r="AB8" s="200">
        <f>'Investitii-constante'!AC37</f>
        <v>0</v>
      </c>
      <c r="AC8" s="200">
        <f>'Investitii-constante'!AD37</f>
        <v>0</v>
      </c>
      <c r="AD8" s="200">
        <f>'Investitii-constante'!AE37</f>
        <v>0</v>
      </c>
      <c r="AE8" s="200">
        <f>'Investitii-constante'!AF37</f>
        <v>0</v>
      </c>
      <c r="AF8" s="200">
        <f>'Investitii-constante'!AG37</f>
        <v>0</v>
      </c>
      <c r="AG8" s="200">
        <f>'Investitii-constante'!AH37</f>
        <v>0</v>
      </c>
      <c r="AH8" s="200">
        <f>'Investitii-constante'!AI37</f>
        <v>0</v>
      </c>
    </row>
    <row r="9" spans="2:34" x14ac:dyDescent="0.25">
      <c r="B9" s="31" t="s">
        <v>277</v>
      </c>
      <c r="C9" s="31" t="s">
        <v>316</v>
      </c>
      <c r="D9" s="200">
        <f>'Investitii-constante'!E43</f>
        <v>0</v>
      </c>
      <c r="E9" s="200">
        <f>'Investitii-constante'!F43</f>
        <v>0</v>
      </c>
      <c r="F9" s="200">
        <f>'Investitii-constante'!G43</f>
        <v>0</v>
      </c>
      <c r="G9" s="200">
        <f>'Investitii-constante'!H43</f>
        <v>0</v>
      </c>
      <c r="H9" s="200">
        <f>'Investitii-constante'!I43</f>
        <v>0</v>
      </c>
      <c r="I9" s="200">
        <f>'Investitii-constante'!J43</f>
        <v>0</v>
      </c>
      <c r="J9" s="200">
        <f>'Investitii-constante'!K43</f>
        <v>0</v>
      </c>
      <c r="K9" s="200">
        <f>'Investitii-constante'!L43</f>
        <v>0</v>
      </c>
      <c r="L9" s="200">
        <f>'Investitii-constante'!M43*14%</f>
        <v>6432.2489000000023</v>
      </c>
      <c r="M9" s="200">
        <f>'Investitii-constante'!N43*14%</f>
        <v>6432.2489000000023</v>
      </c>
      <c r="N9" s="200">
        <f>'Investitii-constante'!O43*14%</f>
        <v>6432.2489000000023</v>
      </c>
      <c r="O9" s="200">
        <f>'Investitii-constante'!P43*14%</f>
        <v>6432.2489000000023</v>
      </c>
      <c r="P9" s="200">
        <f>'Investitii-constante'!Q43*14%</f>
        <v>6432.2489000000023</v>
      </c>
      <c r="Q9" s="200">
        <f>'Investitii-constante'!R43*14%</f>
        <v>6432.2489000000023</v>
      </c>
      <c r="R9" s="200">
        <f>'Investitii-constante'!S43*14%</f>
        <v>6432.2489000000023</v>
      </c>
      <c r="S9" s="200">
        <f>'Investitii-constante'!T43*14%</f>
        <v>153134.37230000002</v>
      </c>
      <c r="T9" s="200">
        <f>'Investitii-constante'!U43*14%</f>
        <v>177584.72620000003</v>
      </c>
      <c r="U9" s="200">
        <f>'Investitii-constante'!V43*14%</f>
        <v>177584.72620000003</v>
      </c>
      <c r="V9" s="200">
        <f>'Investitii-constante'!W43*14%</f>
        <v>27618.586625000007</v>
      </c>
      <c r="W9" s="200">
        <f>'Investitii-constante'!X43*14%</f>
        <v>27618.586625000007</v>
      </c>
      <c r="X9" s="200">
        <f>'Investitii-constante'!Y43*14%</f>
        <v>27618.586625000007</v>
      </c>
      <c r="Y9" s="200">
        <f>'Investitii-constante'!Z43*14%</f>
        <v>27618.586625000007</v>
      </c>
      <c r="Z9" s="200">
        <f>'Investitii-constante'!AA43*14%</f>
        <v>0</v>
      </c>
      <c r="AA9" s="200">
        <f>'Investitii-constante'!AB43*14%</f>
        <v>0</v>
      </c>
      <c r="AB9" s="200">
        <f>'Investitii-constante'!AC43*14%</f>
        <v>0</v>
      </c>
      <c r="AC9" s="200">
        <f>'Investitii-constante'!AD43*14%</f>
        <v>0</v>
      </c>
      <c r="AD9" s="200">
        <f>'Investitii-constante'!AE43*14%</f>
        <v>0</v>
      </c>
      <c r="AE9" s="200">
        <f>'Investitii-constante'!AF43*14%</f>
        <v>0</v>
      </c>
      <c r="AF9" s="200">
        <f>'Investitii-constante'!AG43*14%</f>
        <v>0</v>
      </c>
      <c r="AG9" s="200">
        <f>'Investitii-constante'!AH43*14%</f>
        <v>0</v>
      </c>
      <c r="AH9" s="200">
        <f>'Investitii-constante'!AI43*14%</f>
        <v>0</v>
      </c>
    </row>
    <row r="10" spans="2:34" x14ac:dyDescent="0.25">
      <c r="B10" s="31" t="s">
        <v>278</v>
      </c>
      <c r="C10" s="31" t="s">
        <v>316</v>
      </c>
      <c r="D10" s="200">
        <f>'[18]Operare_Apa rev 1'!D109</f>
        <v>6368730.8967423392</v>
      </c>
      <c r="E10" s="200">
        <f>'[18]Operare_Apa rev 1'!E109</f>
        <v>6565561.8612025511</v>
      </c>
      <c r="F10" s="200">
        <f>'[18]Operare_Apa rev 1'!F109</f>
        <v>6557535.4544990752</v>
      </c>
      <c r="G10" s="200">
        <f>'[18]Operare_Apa rev 1'!G109</f>
        <v>7089470.2614154061</v>
      </c>
      <c r="H10" s="200">
        <f>'[18]Operare_Apa rev 1'!H109</f>
        <v>6916603.6676851874</v>
      </c>
      <c r="I10" s="200">
        <f>'[18]Operare_Apa rev 1'!I109</f>
        <v>7057411.5662830099</v>
      </c>
      <c r="J10" s="200">
        <f>'[18]Operare_Apa rev 1'!J109</f>
        <v>7114495.6051621018</v>
      </c>
      <c r="K10" s="200">
        <f>'[18]Operare_Apa rev 1'!K109</f>
        <v>7173714.5477757882</v>
      </c>
      <c r="L10" s="200">
        <f>'[18]Operare_Apa rev 1'!L109</f>
        <v>7222392.0070672603</v>
      </c>
      <c r="M10" s="200">
        <f>'[18]Operare_Apa rev 1'!M109</f>
        <v>7241359.7942111883</v>
      </c>
      <c r="N10" s="200">
        <f>'[18]Operare_Apa rev 1'!N109</f>
        <v>7270049.7534164377</v>
      </c>
      <c r="O10" s="200">
        <f>'[18]Operare_Apa rev 1'!O109</f>
        <v>7300834.4641797356</v>
      </c>
      <c r="P10" s="200">
        <f>'[18]Operare_Apa rev 1'!P109</f>
        <v>7319014.4526553191</v>
      </c>
      <c r="Q10" s="200">
        <f>'[18]Operare_Apa rev 1'!Q109</f>
        <v>7367270.6061658086</v>
      </c>
      <c r="R10" s="200">
        <f>'[18]Operare_Apa rev 1'!R109</f>
        <v>7411944.73982812</v>
      </c>
      <c r="S10" s="200">
        <f>'[18]Operare_Apa rev 1'!S109</f>
        <v>7457733.0207725307</v>
      </c>
      <c r="T10" s="200">
        <f>'[18]Operare_Apa rev 1'!T109</f>
        <v>7502699.1223150035</v>
      </c>
      <c r="U10" s="200">
        <f>'[18]Operare_Apa rev 1'!U109</f>
        <v>7531137.2703063907</v>
      </c>
      <c r="V10" s="200">
        <f>'[18]Operare_Apa rev 1'!V109</f>
        <v>7571924.8181905532</v>
      </c>
      <c r="W10" s="200">
        <f>'[18]Operare_Apa rev 1'!W109</f>
        <v>7599978.1487145992</v>
      </c>
      <c r="X10" s="200">
        <f>'[18]Operare_Apa rev 1'!X109</f>
        <v>7627697.5039310111</v>
      </c>
      <c r="Y10" s="200">
        <f>'[18]Operare_Apa rev 1'!Y109</f>
        <v>7655088.3710526684</v>
      </c>
      <c r="Z10" s="200">
        <f>'[18]Operare_Apa rev 1'!Z109</f>
        <v>7682156.2034910508</v>
      </c>
      <c r="AA10" s="200">
        <f>'[18]Operare_Apa rev 1'!AA109</f>
        <v>7708906.4213420618</v>
      </c>
      <c r="AB10" s="200">
        <f>'[18]Operare_Apa rev 1'!AB109</f>
        <v>7735344.4118700614</v>
      </c>
      <c r="AC10" s="200">
        <f>'[18]Operare_Apa rev 1'!AC109</f>
        <v>7761475.5299902027</v>
      </c>
      <c r="AD10" s="200">
        <f>'[18]Operare_Apa rev 1'!AD109</f>
        <v>7787305.0987490574</v>
      </c>
      <c r="AE10" s="200">
        <f>'[18]Operare_Apa rev 1'!AE109</f>
        <v>7812838.4098036159</v>
      </c>
      <c r="AF10" s="200">
        <f>'[18]Operare_Apa rev 1'!AF109</f>
        <v>7838080.7238986641</v>
      </c>
      <c r="AG10" s="200">
        <f>'[18]Operare_Apa rev 1'!AG109</f>
        <v>7850998.9360006442</v>
      </c>
      <c r="AH10" s="200">
        <f>'[18]Operare_Apa rev 1'!AH109</f>
        <v>7895324.6471562246</v>
      </c>
    </row>
    <row r="11" spans="2:34" x14ac:dyDescent="0.25">
      <c r="B11" s="96" t="s">
        <v>279</v>
      </c>
      <c r="C11" s="31" t="s">
        <v>316</v>
      </c>
      <c r="D11" s="200">
        <f>SUM(D8:D10)</f>
        <v>6368730.8967423392</v>
      </c>
      <c r="E11" s="200">
        <f t="shared" ref="E11:AH11" si="1">SUM(E8:E10)</f>
        <v>6722508.734362551</v>
      </c>
      <c r="F11" s="200">
        <f t="shared" si="1"/>
        <v>6714482.3276590751</v>
      </c>
      <c r="G11" s="200">
        <f t="shared" si="1"/>
        <v>7246417.1345754061</v>
      </c>
      <c r="H11" s="200">
        <f t="shared" si="1"/>
        <v>7073550.5408451874</v>
      </c>
      <c r="I11" s="200">
        <f t="shared" si="1"/>
        <v>7214358.4394430099</v>
      </c>
      <c r="J11" s="200">
        <f t="shared" si="1"/>
        <v>7271442.4783221018</v>
      </c>
      <c r="K11" s="200">
        <f t="shared" si="1"/>
        <v>7330661.4209357882</v>
      </c>
      <c r="L11" s="200">
        <f t="shared" si="1"/>
        <v>10965302.940087259</v>
      </c>
      <c r="M11" s="200">
        <f t="shared" si="1"/>
        <v>11580859.362391189</v>
      </c>
      <c r="N11" s="200">
        <f t="shared" si="1"/>
        <v>11609549.321596436</v>
      </c>
      <c r="O11" s="200">
        <f t="shared" si="1"/>
        <v>7981160.2267297357</v>
      </c>
      <c r="P11" s="200">
        <f t="shared" si="1"/>
        <v>7999340.2152053192</v>
      </c>
      <c r="Q11" s="200">
        <f t="shared" si="1"/>
        <v>8047596.3687158087</v>
      </c>
      <c r="R11" s="200">
        <f t="shared" si="1"/>
        <v>8092270.5023781201</v>
      </c>
      <c r="S11" s="200">
        <f t="shared" si="1"/>
        <v>7610867.3930725306</v>
      </c>
      <c r="T11" s="200">
        <f t="shared" si="1"/>
        <v>7680283.8485150039</v>
      </c>
      <c r="U11" s="200">
        <f t="shared" si="1"/>
        <v>7708721.9965063911</v>
      </c>
      <c r="V11" s="200">
        <f t="shared" si="1"/>
        <v>7599543.4048155537</v>
      </c>
      <c r="W11" s="200">
        <f t="shared" si="1"/>
        <v>7627596.7353395997</v>
      </c>
      <c r="X11" s="200">
        <f t="shared" si="1"/>
        <v>7655316.0905560115</v>
      </c>
      <c r="Y11" s="200">
        <f t="shared" si="1"/>
        <v>7682706.9576776689</v>
      </c>
      <c r="Z11" s="200">
        <f>SUM(Z8:Z10)</f>
        <v>7682156.2034910508</v>
      </c>
      <c r="AA11" s="200">
        <f t="shared" si="1"/>
        <v>7708906.4213420618</v>
      </c>
      <c r="AB11" s="200">
        <f t="shared" si="1"/>
        <v>7735344.4118700614</v>
      </c>
      <c r="AC11" s="200">
        <f t="shared" si="1"/>
        <v>7761475.5299902027</v>
      </c>
      <c r="AD11" s="200">
        <f t="shared" si="1"/>
        <v>7787305.0987490574</v>
      </c>
      <c r="AE11" s="200">
        <f t="shared" si="1"/>
        <v>7812838.4098036159</v>
      </c>
      <c r="AF11" s="200">
        <f t="shared" si="1"/>
        <v>7838080.7238986641</v>
      </c>
      <c r="AG11" s="200">
        <f t="shared" si="1"/>
        <v>7850998.9360006442</v>
      </c>
      <c r="AH11" s="200">
        <f t="shared" si="1"/>
        <v>7895324.6471562246</v>
      </c>
    </row>
    <row r="12" spans="2:34" x14ac:dyDescent="0.25">
      <c r="B12" s="31" t="s">
        <v>280</v>
      </c>
      <c r="C12" s="31" t="s">
        <v>273</v>
      </c>
      <c r="D12" s="200">
        <f>'[18]Volum apa produs'!D98</f>
        <v>24435673.393989053</v>
      </c>
      <c r="E12" s="200">
        <f>'[18]Volum apa produs'!E98</f>
        <v>22473857.088306624</v>
      </c>
      <c r="F12" s="200">
        <f>'[18]Volum apa produs'!F98</f>
        <v>20532133.822165873</v>
      </c>
      <c r="G12" s="200">
        <f>'[18]Volum apa produs'!G98</f>
        <v>18678203.456541747</v>
      </c>
      <c r="H12" s="200">
        <f>'[18]Volum apa produs'!H98</f>
        <v>17019955.479730248</v>
      </c>
      <c r="I12" s="200">
        <f>'[18]Volum apa produs'!I98</f>
        <v>16430530.527950622</v>
      </c>
      <c r="J12" s="200">
        <f>'[18]Volum apa produs'!J98</f>
        <v>15258854.875011252</v>
      </c>
      <c r="K12" s="200">
        <f>'[18]Volum apa produs'!K98</f>
        <v>14263764.505132314</v>
      </c>
      <c r="L12" s="200">
        <f>'[18]Volum apa produs'!L98</f>
        <v>14295095.346313789</v>
      </c>
      <c r="M12" s="200">
        <f>'[18]Volum apa produs'!M98</f>
        <v>14279547.199816376</v>
      </c>
      <c r="N12" s="200">
        <f>'[18]Volum apa produs'!N98</f>
        <v>14269612.361629548</v>
      </c>
      <c r="O12" s="200">
        <f>'[18]Volum apa produs'!O98</f>
        <v>14256448.90808516</v>
      </c>
      <c r="P12" s="200">
        <f>'[18]Volum apa produs'!P98</f>
        <v>14241792.990758764</v>
      </c>
      <c r="Q12" s="200">
        <f>'[18]Volum apa produs'!Q98</f>
        <v>14221840.25772967</v>
      </c>
      <c r="R12" s="200">
        <f>'[18]Volum apa produs'!R98</f>
        <v>14201930.493663333</v>
      </c>
      <c r="S12" s="200">
        <f>'[18]Volum apa produs'!S98</f>
        <v>14182063.545227405</v>
      </c>
      <c r="T12" s="200">
        <f>'[18]Volum apa produs'!T98</f>
        <v>14162239.259796914</v>
      </c>
      <c r="U12" s="200">
        <f>'[18]Volum apa produs'!U98</f>
        <v>14142457.485450737</v>
      </c>
      <c r="V12" s="200">
        <f>'[18]Volum apa produs'!V98</f>
        <v>14123710.872491116</v>
      </c>
      <c r="W12" s="200">
        <f>'[18]Volum apa produs'!W98</f>
        <v>14125316.513355769</v>
      </c>
      <c r="X12" s="200">
        <f>'[18]Volum apa produs'!X98</f>
        <v>14127030.287240986</v>
      </c>
      <c r="Y12" s="200">
        <f>'[18]Volum apa produs'!Y98</f>
        <v>14128852.009774486</v>
      </c>
      <c r="Z12" s="200">
        <f>'[18]Volum apa produs'!Z98</f>
        <v>14143987.503635067</v>
      </c>
      <c r="AA12" s="200">
        <f>'[18]Volum apa produs'!AA98</f>
        <v>14159223.387991155</v>
      </c>
      <c r="AB12" s="200">
        <f>'[18]Volum apa produs'!AB98</f>
        <v>14174559.567264145</v>
      </c>
      <c r="AC12" s="200">
        <f>'[18]Volum apa produs'!AC98</f>
        <v>14189995.947295029</v>
      </c>
      <c r="AD12" s="200">
        <f>'[18]Volum apa produs'!AD98</f>
        <v>14205532.435338696</v>
      </c>
      <c r="AE12" s="200">
        <f>'[18]Volum apa produs'!AE98</f>
        <v>14221168.940058267</v>
      </c>
      <c r="AF12" s="200">
        <f>'[18]Volum apa produs'!AF98</f>
        <v>14236905.371519418</v>
      </c>
      <c r="AG12" s="200">
        <f>'[18]Volum apa produs'!AG98</f>
        <v>14230920.426969765</v>
      </c>
      <c r="AH12" s="200">
        <f>'[18]Volum apa produs'!AH98</f>
        <v>14225019.882460052</v>
      </c>
    </row>
    <row r="13" spans="2:34" x14ac:dyDescent="0.25">
      <c r="B13" s="31" t="s">
        <v>317</v>
      </c>
      <c r="C13" s="31" t="s">
        <v>288</v>
      </c>
      <c r="D13" s="201">
        <f>D11/D12</f>
        <v>0.26063251026709938</v>
      </c>
      <c r="E13" s="201">
        <f t="shared" ref="E13:AH13" si="2">E11/E12</f>
        <v>0.2991257222980358</v>
      </c>
      <c r="F13" s="201">
        <f t="shared" si="2"/>
        <v>0.32702311341894347</v>
      </c>
      <c r="G13" s="201">
        <f t="shared" si="2"/>
        <v>0.3879611415217486</v>
      </c>
      <c r="H13" s="201">
        <f t="shared" si="2"/>
        <v>0.41560335156395467</v>
      </c>
      <c r="I13" s="201">
        <f t="shared" si="2"/>
        <v>0.43908250115054903</v>
      </c>
      <c r="J13" s="201">
        <f t="shared" si="2"/>
        <v>0.47653919890346552</v>
      </c>
      <c r="K13" s="201">
        <f t="shared" si="2"/>
        <v>0.51393595416540339</v>
      </c>
      <c r="L13" s="201">
        <f t="shared" si="2"/>
        <v>0.76706749234203819</v>
      </c>
      <c r="M13" s="201">
        <f t="shared" si="2"/>
        <v>0.81101026526528164</v>
      </c>
      <c r="N13" s="201">
        <f t="shared" si="2"/>
        <v>0.81358547291824679</v>
      </c>
      <c r="O13" s="201">
        <f t="shared" si="2"/>
        <v>0.55982806645513505</v>
      </c>
      <c r="P13" s="201">
        <f t="shared" si="2"/>
        <v>0.56168069711418667</v>
      </c>
      <c r="Q13" s="201">
        <f t="shared" si="2"/>
        <v>0.56586181695732962</v>
      </c>
      <c r="R13" s="201">
        <f t="shared" si="2"/>
        <v>0.56980073983524682</v>
      </c>
      <c r="S13" s="201">
        <f t="shared" si="2"/>
        <v>0.53665444163333798</v>
      </c>
      <c r="T13" s="201">
        <f t="shared" si="2"/>
        <v>0.54230716679935109</v>
      </c>
      <c r="U13" s="201">
        <f t="shared" si="2"/>
        <v>0.54507655437089719</v>
      </c>
      <c r="V13" s="201">
        <f t="shared" si="2"/>
        <v>0.5380698793273414</v>
      </c>
      <c r="W13" s="201">
        <f t="shared" si="2"/>
        <v>0.53999474830369676</v>
      </c>
      <c r="X13" s="201">
        <f t="shared" si="2"/>
        <v>0.54189139082330784</v>
      </c>
      <c r="Y13" s="201">
        <f t="shared" si="2"/>
        <v>0.5437601690754984</v>
      </c>
      <c r="Z13" s="201">
        <f t="shared" si="2"/>
        <v>0.54313935172218597</v>
      </c>
      <c r="AA13" s="201">
        <f t="shared" si="2"/>
        <v>0.54444415559402837</v>
      </c>
      <c r="AB13" s="201">
        <f t="shared" si="2"/>
        <v>0.54572026560420828</v>
      </c>
      <c r="AC13" s="201">
        <f t="shared" si="2"/>
        <v>0.54696812873084266</v>
      </c>
      <c r="AD13" s="201">
        <f t="shared" si="2"/>
        <v>0.54818818894649812</v>
      </c>
      <c r="AE13" s="201">
        <f t="shared" si="2"/>
        <v>0.54938088723468925</v>
      </c>
      <c r="AF13" s="201">
        <f t="shared" si="2"/>
        <v>0.55054666160657029</v>
      </c>
      <c r="AG13" s="201">
        <f t="shared" si="2"/>
        <v>0.55168595568293699</v>
      </c>
      <c r="AH13" s="201">
        <f t="shared" si="2"/>
        <v>0.55503083386838958</v>
      </c>
    </row>
    <row r="14" spans="2:34" x14ac:dyDescent="0.25">
      <c r="B14" s="31"/>
      <c r="C14" s="31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</row>
    <row r="15" spans="2:34" ht="15.75" thickBot="1" x14ac:dyDescent="0.3">
      <c r="B15" s="31"/>
      <c r="C15" s="31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</row>
    <row r="16" spans="2:34" ht="15.75" thickBot="1" x14ac:dyDescent="0.3">
      <c r="B16" s="230" t="s">
        <v>281</v>
      </c>
      <c r="C16" s="31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</row>
    <row r="17" spans="2:34" x14ac:dyDescent="0.25">
      <c r="B17" s="31" t="s">
        <v>276</v>
      </c>
      <c r="C17" s="31" t="s">
        <v>316</v>
      </c>
      <c r="D17" s="200">
        <f>'Investitii-constante'!E7</f>
        <v>0</v>
      </c>
      <c r="E17" s="200">
        <f>'Investitii-constante'!F38*14%</f>
        <v>592984.43064000015</v>
      </c>
      <c r="F17" s="200">
        <f>'Investitii-constante'!G38*14%</f>
        <v>592984.43064000015</v>
      </c>
      <c r="G17" s="200">
        <f>'Investitii-constante'!H38*14%</f>
        <v>592984.43064000015</v>
      </c>
      <c r="H17" s="200">
        <f>'Investitii-constante'!I38*14%</f>
        <v>592984.43064000015</v>
      </c>
      <c r="I17" s="200">
        <f>'Investitii-constante'!J38*14%</f>
        <v>592984.43064000015</v>
      </c>
      <c r="J17" s="200">
        <f>'Investitii-constante'!K38*14%</f>
        <v>592984.43064000015</v>
      </c>
      <c r="K17" s="200">
        <f>'Investitii-constante'!L38*14%</f>
        <v>592984.43064000015</v>
      </c>
      <c r="L17" s="200">
        <f>'Investitii-constante'!M38*14%</f>
        <v>2240962.8511200007</v>
      </c>
      <c r="M17" s="200">
        <f>'Investitii-constante'!N38*14%</f>
        <v>2515625.9212000007</v>
      </c>
      <c r="N17" s="200">
        <f>'Investitii-constante'!O38*14%</f>
        <v>2515625.9212000007</v>
      </c>
      <c r="O17" s="200">
        <f>'Investitii-constante'!P38*14%</f>
        <v>3825806.0763999997</v>
      </c>
      <c r="P17" s="200">
        <f>'Investitii-constante'!Q38*14%</f>
        <v>3825806.0763999997</v>
      </c>
      <c r="Q17" s="200">
        <f>'Investitii-constante'!R38*14%</f>
        <v>3825806.0763999997</v>
      </c>
      <c r="R17" s="200">
        <f>'Investitii-constante'!S38*14%</f>
        <v>3825806.0763999997</v>
      </c>
      <c r="S17" s="200">
        <f>'Investitii-constante'!T38*14%</f>
        <v>51828.040000000015</v>
      </c>
      <c r="T17" s="200">
        <f>'Investitii-constante'!U38*14%</f>
        <v>51828.040000000015</v>
      </c>
      <c r="U17" s="200">
        <f>'Investitii-constante'!V38*14%</f>
        <v>51828.040000000015</v>
      </c>
      <c r="V17" s="200">
        <f>'Investitii-constante'!W38</f>
        <v>370200.2857142858</v>
      </c>
      <c r="W17" s="200">
        <f>'Investitii-constante'!X38</f>
        <v>370200.2857142858</v>
      </c>
      <c r="X17" s="200">
        <f>'Investitii-constante'!Y38</f>
        <v>370200.2857142858</v>
      </c>
      <c r="Y17" s="200">
        <f>'Investitii-constante'!Z38</f>
        <v>370200.2857142858</v>
      </c>
      <c r="Z17" s="200">
        <f>'Investitii-constante'!AA38</f>
        <v>0</v>
      </c>
      <c r="AA17" s="200">
        <f>'Investitii-constante'!AB38</f>
        <v>0</v>
      </c>
      <c r="AB17" s="200">
        <f>'Investitii-constante'!AC38</f>
        <v>0</v>
      </c>
      <c r="AC17" s="200">
        <f>'Investitii-constante'!AD38</f>
        <v>0</v>
      </c>
      <c r="AD17" s="200">
        <f>'Investitii-constante'!AE38</f>
        <v>0</v>
      </c>
      <c r="AE17" s="200">
        <f>'Investitii-constante'!AF38</f>
        <v>0</v>
      </c>
      <c r="AF17" s="200">
        <f>'Investitii-constante'!AG38</f>
        <v>0</v>
      </c>
      <c r="AG17" s="200">
        <f>'Investitii-constante'!AH38</f>
        <v>0</v>
      </c>
      <c r="AH17" s="200">
        <f>'Investitii-constante'!AI38</f>
        <v>0</v>
      </c>
    </row>
    <row r="18" spans="2:34" x14ac:dyDescent="0.25">
      <c r="B18" s="31" t="s">
        <v>277</v>
      </c>
      <c r="C18" s="31" t="s">
        <v>316</v>
      </c>
      <c r="D18" s="200">
        <f>'Investitii-constante'!E44</f>
        <v>0</v>
      </c>
      <c r="E18" s="200">
        <f>'Investitii-constante'!F44</f>
        <v>0</v>
      </c>
      <c r="F18" s="200">
        <f>'Investitii-constante'!G44</f>
        <v>0</v>
      </c>
      <c r="G18" s="200">
        <f>'Investitii-constante'!H44</f>
        <v>0</v>
      </c>
      <c r="H18" s="200">
        <f>'Investitii-constante'!I44</f>
        <v>0</v>
      </c>
      <c r="I18" s="200">
        <f>'Investitii-constante'!J44</f>
        <v>0</v>
      </c>
      <c r="J18" s="200">
        <f>'Investitii-constante'!K44</f>
        <v>0</v>
      </c>
      <c r="K18" s="200">
        <f>'Investitii-constante'!L44</f>
        <v>0</v>
      </c>
      <c r="L18" s="200">
        <f>'Investitii-constante'!M44*14%</f>
        <v>24302.640600000006</v>
      </c>
      <c r="M18" s="200">
        <f>'Investitii-constante'!N44*14%</f>
        <v>24302.640600000006</v>
      </c>
      <c r="N18" s="200">
        <f>'Investitii-constante'!O44*14%</f>
        <v>24302.640600000006</v>
      </c>
      <c r="O18" s="200">
        <f>'Investitii-constante'!P44*14%</f>
        <v>24302.640600000006</v>
      </c>
      <c r="P18" s="200">
        <f>'Investitii-constante'!Q44*14%</f>
        <v>24302.640600000006</v>
      </c>
      <c r="Q18" s="200">
        <f>'Investitii-constante'!R44*14%</f>
        <v>24302.640600000006</v>
      </c>
      <c r="R18" s="200">
        <f>'Investitii-constante'!S44*14%</f>
        <v>24302.640600000006</v>
      </c>
      <c r="S18" s="200">
        <f>'Investitii-constante'!T44*14%</f>
        <v>91842.739800000025</v>
      </c>
      <c r="T18" s="200">
        <f>'Investitii-constante'!U44*14%</f>
        <v>103099.42300000002</v>
      </c>
      <c r="U18" s="200">
        <f>'Investitii-constante'!V44*14%</f>
        <v>103099.42300000002</v>
      </c>
      <c r="V18" s="200">
        <f>'Investitii-constante'!W44*14%</f>
        <v>156795.33100000003</v>
      </c>
      <c r="W18" s="200">
        <f>'Investitii-constante'!X44*14%</f>
        <v>156795.33100000003</v>
      </c>
      <c r="X18" s="200">
        <f>'Investitii-constante'!Y44*14%</f>
        <v>156795.33100000003</v>
      </c>
      <c r="Y18" s="200">
        <f>'Investitii-constante'!Z44*14%</f>
        <v>156795.33100000003</v>
      </c>
      <c r="Z18" s="200">
        <f>'Investitii-constante'!AA44*14%</f>
        <v>2124.1000000000004</v>
      </c>
      <c r="AA18" s="200">
        <f>'Investitii-constante'!AB44*14%</f>
        <v>2124.1000000000004</v>
      </c>
      <c r="AB18" s="200">
        <f>'Investitii-constante'!AC44*14%</f>
        <v>2124.1000000000004</v>
      </c>
      <c r="AC18" s="200">
        <f>'Investitii-constante'!AD44*14%</f>
        <v>2124.1000000000004</v>
      </c>
      <c r="AD18" s="200">
        <f>'Investitii-constante'!AE44*14%</f>
        <v>2124.1000000000004</v>
      </c>
      <c r="AE18" s="200">
        <f>'Investitii-constante'!AF44*14%</f>
        <v>2124.1000000000004</v>
      </c>
      <c r="AF18" s="200">
        <f>'Investitii-constante'!AG44*14%</f>
        <v>2124.1000000000004</v>
      </c>
      <c r="AG18" s="200">
        <f>'Investitii-constante'!AH44*14%</f>
        <v>2124.1000000000004</v>
      </c>
      <c r="AH18" s="200">
        <f>'Investitii-constante'!AI44*14%</f>
        <v>2124.1000000000004</v>
      </c>
    </row>
    <row r="19" spans="2:34" x14ac:dyDescent="0.25">
      <c r="B19" s="31" t="s">
        <v>278</v>
      </c>
      <c r="C19" s="31" t="s">
        <v>316</v>
      </c>
      <c r="D19" s="200">
        <f>'[18]Cost canal_ Cluster_v01'!E107</f>
        <v>3393398.5618341798</v>
      </c>
      <c r="E19" s="200">
        <f>'[18]Cost canal_ Cluster_v01'!F107</f>
        <v>4352731.4959758688</v>
      </c>
      <c r="F19" s="200">
        <f>'[18]Cost canal_ Cluster_v01'!G107</f>
        <v>4559608.4295986407</v>
      </c>
      <c r="G19" s="200">
        <f>'[18]Cost canal_ Cluster_v01'!H107</f>
        <v>4817639.7663877448</v>
      </c>
      <c r="H19" s="200">
        <f>'[18]Cost canal_ Cluster_v01'!I107</f>
        <v>4963698.2498349836</v>
      </c>
      <c r="I19" s="200">
        <f>'[18]Cost canal_ Cluster_v01'!J107</f>
        <v>5175862.1094198786</v>
      </c>
      <c r="J19" s="200">
        <f>'[18]Cost canal_ Cluster_v01'!K107</f>
        <v>5261113.2864165939</v>
      </c>
      <c r="K19" s="200">
        <f>'[18]Cost canal_ Cluster_v01'!L107</f>
        <v>5343424.8167005358</v>
      </c>
      <c r="L19" s="200">
        <f>'[18]Cost canal_ Cluster_v01'!M107</f>
        <v>5379531.8741837824</v>
      </c>
      <c r="M19" s="200">
        <f>'[18]Cost canal_ Cluster_v01'!N107</f>
        <v>5410654.0197172314</v>
      </c>
      <c r="N19" s="200">
        <f>'[18]Cost canal_ Cluster_v01'!O107</f>
        <v>5442201.4629756389</v>
      </c>
      <c r="O19" s="200">
        <f>'[18]Cost canal_ Cluster_v01'!P107</f>
        <v>5465199.450633225</v>
      </c>
      <c r="P19" s="200">
        <f>'[18]Cost canal_ Cluster_v01'!Q107</f>
        <v>5492175.2818681132</v>
      </c>
      <c r="Q19" s="200">
        <f>'[18]Cost canal_ Cluster_v01'!R107</f>
        <v>5500769.6530536171</v>
      </c>
      <c r="R19" s="200">
        <f>'[18]Cost canal_ Cluster_v01'!S107</f>
        <v>5516978.2237995015</v>
      </c>
      <c r="S19" s="200">
        <f>'[18]Cost canal_ Cluster_v01'!T107</f>
        <v>5545226.8693987941</v>
      </c>
      <c r="T19" s="200">
        <f>'[18]Cost canal_ Cluster_v01'!U107</f>
        <v>5569107.5618095817</v>
      </c>
      <c r="U19" s="200">
        <f>'[18]Cost canal_ Cluster_v01'!V107</f>
        <v>5597124.0680654775</v>
      </c>
      <c r="V19" s="200">
        <f>'[18]Cost canal_ Cluster_v01'!W107</f>
        <v>5601471.7417176366</v>
      </c>
      <c r="W19" s="200">
        <f>'[18]Cost canal_ Cluster_v01'!X107</f>
        <v>5618074.6953956764</v>
      </c>
      <c r="X19" s="200">
        <f>'[18]Cost canal_ Cluster_v01'!Y107</f>
        <v>5779764.7298776601</v>
      </c>
      <c r="Y19" s="200">
        <f>'[18]Cost canal_ Cluster_v01'!Z107</f>
        <v>5838077.8898568731</v>
      </c>
      <c r="Z19" s="200">
        <f>'[18]Cost canal_ Cluster_v01'!AA107</f>
        <v>5877567.9079520032</v>
      </c>
      <c r="AA19" s="200">
        <f>'[18]Cost canal_ Cluster_v01'!AB107</f>
        <v>6031600.6457541604</v>
      </c>
      <c r="AB19" s="200">
        <f>'[18]Cost canal_ Cluster_v01'!AC107</f>
        <v>6228701.4067145362</v>
      </c>
      <c r="AC19" s="200">
        <f>'[18]Cost canal_ Cluster_v01'!AD107</f>
        <v>6208886.6943470454</v>
      </c>
      <c r="AD19" s="200">
        <f>'[18]Cost canal_ Cluster_v01'!AE107</f>
        <v>6407986.8649564032</v>
      </c>
      <c r="AE19" s="200">
        <f>'[18]Cost canal_ Cluster_v01'!AF107</f>
        <v>6534042.4033854604</v>
      </c>
      <c r="AF19" s="200">
        <f>'[18]Cost canal_ Cluster_v01'!AG107</f>
        <v>6660923.5340090701</v>
      </c>
      <c r="AG19" s="200">
        <f>'[18]Cost canal_ Cluster_v01'!AH107</f>
        <v>6862370.2454662472</v>
      </c>
      <c r="AH19" s="200">
        <f>'[18]Cost canal_ Cluster_v01'!AI107</f>
        <v>6981908.1501002628</v>
      </c>
    </row>
    <row r="20" spans="2:34" x14ac:dyDescent="0.25">
      <c r="B20" s="96" t="s">
        <v>279</v>
      </c>
      <c r="C20" s="31" t="s">
        <v>316</v>
      </c>
      <c r="D20" s="200">
        <f>SUM(D17:D19)</f>
        <v>3393398.5618341798</v>
      </c>
      <c r="E20" s="200">
        <f t="shared" ref="E20:AH20" si="3">SUM(E17:E19)</f>
        <v>4945715.9266158687</v>
      </c>
      <c r="F20" s="200">
        <f t="shared" si="3"/>
        <v>5152592.8602386406</v>
      </c>
      <c r="G20" s="200">
        <f t="shared" si="3"/>
        <v>5410624.1970277447</v>
      </c>
      <c r="H20" s="200">
        <f t="shared" si="3"/>
        <v>5556682.6804749835</v>
      </c>
      <c r="I20" s="200">
        <f t="shared" si="3"/>
        <v>5768846.5400598785</v>
      </c>
      <c r="J20" s="200">
        <f t="shared" si="3"/>
        <v>5854097.7170565939</v>
      </c>
      <c r="K20" s="200">
        <f t="shared" si="3"/>
        <v>5936409.2473405357</v>
      </c>
      <c r="L20" s="200">
        <f t="shared" si="3"/>
        <v>7644797.3659037836</v>
      </c>
      <c r="M20" s="200">
        <f t="shared" si="3"/>
        <v>7950582.5815172326</v>
      </c>
      <c r="N20" s="200">
        <f t="shared" si="3"/>
        <v>7982130.0247756392</v>
      </c>
      <c r="O20" s="200">
        <f t="shared" si="3"/>
        <v>9315308.1676332243</v>
      </c>
      <c r="P20" s="200">
        <f t="shared" si="3"/>
        <v>9342283.9988681134</v>
      </c>
      <c r="Q20" s="200">
        <f t="shared" si="3"/>
        <v>9350878.3700536173</v>
      </c>
      <c r="R20" s="200">
        <f t="shared" si="3"/>
        <v>9367086.9407995008</v>
      </c>
      <c r="S20" s="200">
        <f t="shared" si="3"/>
        <v>5688897.6491987938</v>
      </c>
      <c r="T20" s="200">
        <f t="shared" si="3"/>
        <v>5724035.0248095822</v>
      </c>
      <c r="U20" s="200">
        <f t="shared" si="3"/>
        <v>5752051.531065478</v>
      </c>
      <c r="V20" s="200">
        <f t="shared" si="3"/>
        <v>6128467.3584319223</v>
      </c>
      <c r="W20" s="200">
        <f t="shared" si="3"/>
        <v>6145070.3121099621</v>
      </c>
      <c r="X20" s="200">
        <f t="shared" si="3"/>
        <v>6306760.3465919457</v>
      </c>
      <c r="Y20" s="200">
        <f t="shared" si="3"/>
        <v>6365073.5065711588</v>
      </c>
      <c r="Z20" s="200">
        <f t="shared" si="3"/>
        <v>5879692.0079520028</v>
      </c>
      <c r="AA20" s="200">
        <f t="shared" si="3"/>
        <v>6033724.74575416</v>
      </c>
      <c r="AB20" s="200">
        <f t="shared" si="3"/>
        <v>6230825.5067145359</v>
      </c>
      <c r="AC20" s="200">
        <f t="shared" si="3"/>
        <v>6211010.794347045</v>
      </c>
      <c r="AD20" s="200">
        <f t="shared" si="3"/>
        <v>6410110.9649564028</v>
      </c>
      <c r="AE20" s="200">
        <f t="shared" si="3"/>
        <v>6536166.50338546</v>
      </c>
      <c r="AF20" s="200">
        <f t="shared" si="3"/>
        <v>6663047.6340090698</v>
      </c>
      <c r="AG20" s="200">
        <f t="shared" si="3"/>
        <v>6864494.3454662468</v>
      </c>
      <c r="AH20" s="200">
        <f t="shared" si="3"/>
        <v>6984032.2501002625</v>
      </c>
    </row>
    <row r="21" spans="2:34" x14ac:dyDescent="0.25">
      <c r="B21" s="31" t="s">
        <v>524</v>
      </c>
      <c r="C21" s="31" t="s">
        <v>273</v>
      </c>
      <c r="D21" s="200">
        <f>'[18]Volum apa uzata'!D98</f>
        <v>11672358.072762275</v>
      </c>
      <c r="E21" s="200">
        <f>'[18]Volum apa uzata'!E98</f>
        <v>12107221.564031187</v>
      </c>
      <c r="F21" s="200">
        <f>'[18]Volum apa uzata'!F98</f>
        <v>12696737.309462607</v>
      </c>
      <c r="G21" s="200">
        <f>'[18]Volum apa uzata'!G98</f>
        <v>13042810.75075802</v>
      </c>
      <c r="H21" s="200">
        <f>'[18]Volum apa uzata'!H98</f>
        <v>13303125.896942712</v>
      </c>
      <c r="I21" s="200">
        <f>'[18]Volum apa uzata'!I98</f>
        <v>13611254.716122007</v>
      </c>
      <c r="J21" s="200">
        <f>'[18]Volum apa uzata'!J98</f>
        <v>13641514.181189168</v>
      </c>
      <c r="K21" s="200">
        <f>'[18]Volum apa uzata'!K98</f>
        <v>13673667.678008158</v>
      </c>
      <c r="L21" s="200">
        <f>'[18]Volum apa uzata'!L98</f>
        <v>13649169.70726021</v>
      </c>
      <c r="M21" s="200">
        <f>'[18]Volum apa uzata'!M98</f>
        <v>13579217.194867386</v>
      </c>
      <c r="N21" s="200">
        <f>'[18]Volum apa uzata'!N98</f>
        <v>13515709.035555352</v>
      </c>
      <c r="O21" s="200">
        <f>'[18]Volum apa uzata'!O98</f>
        <v>13450924.685211934</v>
      </c>
      <c r="P21" s="200">
        <f>'[18]Volum apa uzata'!P98</f>
        <v>13388239.265215268</v>
      </c>
      <c r="Q21" s="200">
        <f>'[18]Volum apa uzata'!Q98</f>
        <v>13348255.164980799</v>
      </c>
      <c r="R21" s="200">
        <f>'[18]Volum apa uzata'!R98</f>
        <v>13307854.176176503</v>
      </c>
      <c r="S21" s="200">
        <f>'[18]Volum apa uzata'!S98</f>
        <v>13269518.265167929</v>
      </c>
      <c r="T21" s="200">
        <f>'[18]Volum apa uzata'!T98</f>
        <v>13230343.507537398</v>
      </c>
      <c r="U21" s="200">
        <f>'[18]Volum apa uzata'!U98</f>
        <v>13197229.848047107</v>
      </c>
      <c r="V21" s="200">
        <f>'[18]Volum apa uzata'!V98</f>
        <v>13162744.018437637</v>
      </c>
      <c r="W21" s="200">
        <f>'[18]Volum apa uzata'!W98</f>
        <v>13107898.480167393</v>
      </c>
      <c r="X21" s="200">
        <f>'[18]Volum apa uzata'!X98</f>
        <v>13053996.83081397</v>
      </c>
      <c r="Y21" s="200">
        <f>'[18]Volum apa uzata'!Y98</f>
        <v>13000148.828794491</v>
      </c>
      <c r="Z21" s="200">
        <f>'[18]Volum apa uzata'!Z98</f>
        <v>12946337.287381269</v>
      </c>
      <c r="AA21" s="200">
        <f>'[18]Volum apa uzata'!AA98</f>
        <v>12893472.319638027</v>
      </c>
      <c r="AB21" s="200">
        <f>'[18]Volum apa uzata'!AB98</f>
        <v>12840630.854237145</v>
      </c>
      <c r="AC21" s="200">
        <f>'[18]Volum apa uzata'!AC98</f>
        <v>12788745.307141453</v>
      </c>
      <c r="AD21" s="200">
        <f>'[18]Volum apa uzata'!AD98</f>
        <v>12737831.996703431</v>
      </c>
      <c r="AE21" s="200">
        <f>'[18]Volum apa uzata'!AE98</f>
        <v>12685960.743553771</v>
      </c>
      <c r="AF21" s="200">
        <f>'[18]Volum apa uzata'!AF98</f>
        <v>12634555.881156104</v>
      </c>
      <c r="AG21" s="200">
        <f>'[18]Volum apa uzata'!AG98</f>
        <v>12564350.596205618</v>
      </c>
      <c r="AH21" s="200">
        <f>'[18]Volum apa uzata'!AH98</f>
        <v>12501581.138508994</v>
      </c>
    </row>
    <row r="22" spans="2:34" x14ac:dyDescent="0.25">
      <c r="B22" s="31" t="s">
        <v>317</v>
      </c>
      <c r="C22" s="31" t="s">
        <v>288</v>
      </c>
      <c r="D22" s="201">
        <f>D20/D21</f>
        <v>0.29072091009208806</v>
      </c>
      <c r="E22" s="201">
        <f t="shared" ref="E22:AH22" si="4">E20/E21</f>
        <v>0.40849305519516377</v>
      </c>
      <c r="F22" s="201">
        <f t="shared" si="4"/>
        <v>0.40582023039875947</v>
      </c>
      <c r="G22" s="201">
        <f t="shared" si="4"/>
        <v>0.41483575131328887</v>
      </c>
      <c r="H22" s="201">
        <f t="shared" si="4"/>
        <v>0.41769751887802586</v>
      </c>
      <c r="I22" s="201">
        <f t="shared" si="4"/>
        <v>0.42382915171126007</v>
      </c>
      <c r="J22" s="201">
        <f t="shared" si="4"/>
        <v>0.42913841083191806</v>
      </c>
      <c r="K22" s="201">
        <f t="shared" si="4"/>
        <v>0.4341490072110113</v>
      </c>
      <c r="L22" s="201">
        <f t="shared" si="4"/>
        <v>0.56009248400196787</v>
      </c>
      <c r="M22" s="201">
        <f t="shared" si="4"/>
        <v>0.58549638520564795</v>
      </c>
      <c r="N22" s="201">
        <f t="shared" si="4"/>
        <v>0.5905816708377859</v>
      </c>
      <c r="O22" s="201">
        <f t="shared" si="4"/>
        <v>0.69254035582212103</v>
      </c>
      <c r="P22" s="201">
        <f t="shared" si="4"/>
        <v>0.69779780700071758</v>
      </c>
      <c r="Q22" s="201">
        <f t="shared" si="4"/>
        <v>0.70053188633864927</v>
      </c>
      <c r="R22" s="201">
        <f t="shared" si="4"/>
        <v>0.70387658421808541</v>
      </c>
      <c r="S22" s="201">
        <f t="shared" si="4"/>
        <v>0.42871922970496767</v>
      </c>
      <c r="T22" s="201">
        <f t="shared" si="4"/>
        <v>0.43264447529639488</v>
      </c>
      <c r="U22" s="201">
        <f t="shared" si="4"/>
        <v>0.43585294772422656</v>
      </c>
      <c r="V22" s="201">
        <f t="shared" si="4"/>
        <v>0.46559192747709044</v>
      </c>
      <c r="W22" s="201">
        <f t="shared" si="4"/>
        <v>0.46880667571599072</v>
      </c>
      <c r="X22" s="201">
        <f t="shared" si="4"/>
        <v>0.48312868681757548</v>
      </c>
      <c r="Y22" s="201">
        <f t="shared" si="4"/>
        <v>0.48961543366895399</v>
      </c>
      <c r="Z22" s="201">
        <f t="shared" si="4"/>
        <v>0.45415872284456155</v>
      </c>
      <c r="AA22" s="201">
        <f t="shared" si="4"/>
        <v>0.46796740212209581</v>
      </c>
      <c r="AB22" s="201">
        <f t="shared" si="4"/>
        <v>0.48524294308005056</v>
      </c>
      <c r="AC22" s="201">
        <f t="shared" si="4"/>
        <v>0.48566224795161966</v>
      </c>
      <c r="AD22" s="201">
        <f t="shared" si="4"/>
        <v>0.50323406421244599</v>
      </c>
      <c r="AE22" s="201">
        <f t="shared" si="4"/>
        <v>0.51522834064473522</v>
      </c>
      <c r="AF22" s="201">
        <f t="shared" si="4"/>
        <v>0.52736698437866891</v>
      </c>
      <c r="AG22" s="201">
        <f t="shared" si="4"/>
        <v>0.54634692759523085</v>
      </c>
      <c r="AH22" s="201">
        <f t="shared" si="4"/>
        <v>0.55865191552348037</v>
      </c>
    </row>
    <row r="24" spans="2:34" ht="15.75" thickBot="1" x14ac:dyDescent="0.3">
      <c r="B24" s="35" t="s">
        <v>301</v>
      </c>
      <c r="C24" s="105">
        <v>0.05</v>
      </c>
    </row>
    <row r="25" spans="2:34" ht="30.75" thickBot="1" x14ac:dyDescent="0.3">
      <c r="B25" s="228" t="s">
        <v>345</v>
      </c>
      <c r="C25" s="229" t="s">
        <v>302</v>
      </c>
      <c r="D25" s="230" t="s">
        <v>19</v>
      </c>
      <c r="E25" s="225" t="s">
        <v>303</v>
      </c>
    </row>
    <row r="26" spans="2:34" x14ac:dyDescent="0.25">
      <c r="B26" s="71" t="s">
        <v>341</v>
      </c>
      <c r="C26" s="87">
        <f>SUM(D8:K8)</f>
        <v>1098628.1121200004</v>
      </c>
      <c r="D26" s="88">
        <f>SUM(D17:K17)</f>
        <v>4150891.0144800004</v>
      </c>
      <c r="E26" s="89">
        <f>C26+D26</f>
        <v>5249519.126600001</v>
      </c>
    </row>
    <row r="27" spans="2:34" x14ac:dyDescent="0.25">
      <c r="B27" s="32" t="s">
        <v>342</v>
      </c>
      <c r="C27" s="81">
        <f>SUM(D9:K9)</f>
        <v>0</v>
      </c>
      <c r="D27" s="82">
        <f t="shared" ref="D27:D29" si="5">SUM(D18:K18)</f>
        <v>0</v>
      </c>
      <c r="E27" s="83">
        <f t="shared" ref="E27:E29" si="6">C27+D27</f>
        <v>0</v>
      </c>
    </row>
    <row r="28" spans="2:34" x14ac:dyDescent="0.25">
      <c r="B28" s="32" t="s">
        <v>343</v>
      </c>
      <c r="C28" s="81">
        <f>SUM(D10:K10)</f>
        <v>54843523.860765457</v>
      </c>
      <c r="D28" s="82">
        <f t="shared" si="5"/>
        <v>37867476.716168426</v>
      </c>
      <c r="E28" s="83">
        <f t="shared" si="6"/>
        <v>92711000.576933891</v>
      </c>
    </row>
    <row r="29" spans="2:34" ht="15.75" thickBot="1" x14ac:dyDescent="0.3">
      <c r="B29" s="78" t="s">
        <v>344</v>
      </c>
      <c r="C29" s="84">
        <f>SUM(D11:K11)</f>
        <v>55942151.972885452</v>
      </c>
      <c r="D29" s="85">
        <f t="shared" si="5"/>
        <v>42018367.730648428</v>
      </c>
      <c r="E29" s="86">
        <f t="shared" si="6"/>
        <v>97960519.703533888</v>
      </c>
    </row>
    <row r="30" spans="2:34" ht="15.75" thickBot="1" x14ac:dyDescent="0.3"/>
    <row r="31" spans="2:34" ht="30.75" thickBot="1" x14ac:dyDescent="0.3">
      <c r="B31" s="228" t="s">
        <v>346</v>
      </c>
      <c r="C31" s="229" t="s">
        <v>302</v>
      </c>
      <c r="D31" s="230" t="s">
        <v>19</v>
      </c>
      <c r="E31" s="225" t="s">
        <v>303</v>
      </c>
    </row>
    <row r="32" spans="2:34" x14ac:dyDescent="0.25">
      <c r="B32" s="71" t="s">
        <v>341</v>
      </c>
      <c r="C32" s="88">
        <f>SUM(L8:P8)</f>
        <v>13750400.349979999</v>
      </c>
      <c r="D32" s="88">
        <f>SUM(L17:P17)</f>
        <v>14923826.846320003</v>
      </c>
      <c r="E32" s="89">
        <f>C32+D32</f>
        <v>28674227.1963</v>
      </c>
    </row>
    <row r="33" spans="2:5" x14ac:dyDescent="0.25">
      <c r="B33" s="32" t="s">
        <v>342</v>
      </c>
      <c r="C33" s="82">
        <f t="shared" ref="C33:C35" si="7">SUM(L9:P9)</f>
        <v>32161.244500000012</v>
      </c>
      <c r="D33" s="82">
        <f t="shared" ref="D33:D35" si="8">SUM(L18:P18)</f>
        <v>121513.20300000004</v>
      </c>
      <c r="E33" s="83">
        <f t="shared" ref="E33:E35" si="9">C33+D33</f>
        <v>153674.44750000004</v>
      </c>
    </row>
    <row r="34" spans="2:5" x14ac:dyDescent="0.25">
      <c r="B34" s="32" t="s">
        <v>343</v>
      </c>
      <c r="C34" s="82">
        <f t="shared" si="7"/>
        <v>36353650.471529946</v>
      </c>
      <c r="D34" s="82">
        <f t="shared" si="8"/>
        <v>27189762.089377992</v>
      </c>
      <c r="E34" s="83">
        <f t="shared" si="9"/>
        <v>63543412.560907938</v>
      </c>
    </row>
    <row r="35" spans="2:5" ht="15.75" thickBot="1" x14ac:dyDescent="0.3">
      <c r="B35" s="78" t="s">
        <v>344</v>
      </c>
      <c r="C35" s="85">
        <f t="shared" si="7"/>
        <v>50136212.066009939</v>
      </c>
      <c r="D35" s="85">
        <f t="shared" si="8"/>
        <v>42235102.138697989</v>
      </c>
      <c r="E35" s="86">
        <f t="shared" si="9"/>
        <v>92371314.204707921</v>
      </c>
    </row>
    <row r="36" spans="2:5" ht="15.75" thickBot="1" x14ac:dyDescent="0.3"/>
    <row r="37" spans="2:5" ht="30.75" thickBot="1" x14ac:dyDescent="0.3">
      <c r="B37" s="228" t="s">
        <v>347</v>
      </c>
      <c r="C37" s="229" t="s">
        <v>302</v>
      </c>
      <c r="D37" s="230" t="s">
        <v>19</v>
      </c>
      <c r="E37" s="225" t="s">
        <v>303</v>
      </c>
    </row>
    <row r="38" spans="2:5" x14ac:dyDescent="0.25">
      <c r="B38" s="71" t="s">
        <v>341</v>
      </c>
      <c r="C38" s="88">
        <f>SUM(Q8:U8)</f>
        <v>1347787.0273000002</v>
      </c>
      <c r="D38" s="88">
        <f>SUM(Q17:U17)</f>
        <v>7807096.2727999995</v>
      </c>
      <c r="E38" s="89">
        <f>C38+D38</f>
        <v>9154883.3000999987</v>
      </c>
    </row>
    <row r="39" spans="2:5" x14ac:dyDescent="0.25">
      <c r="B39" s="32" t="s">
        <v>342</v>
      </c>
      <c r="C39" s="82">
        <f>SUM(Q9:U9)</f>
        <v>521168.32250000013</v>
      </c>
      <c r="D39" s="82">
        <f>SUM(Q18:U18)</f>
        <v>346646.86700000009</v>
      </c>
      <c r="E39" s="83">
        <f t="shared" ref="E39:E41" si="10">C39+D39</f>
        <v>867815.18950000021</v>
      </c>
    </row>
    <row r="40" spans="2:5" x14ac:dyDescent="0.25">
      <c r="B40" s="32" t="s">
        <v>343</v>
      </c>
      <c r="C40" s="82">
        <f>SUM(Q10:U10)</f>
        <v>37270784.759387858</v>
      </c>
      <c r="D40" s="82">
        <f>SUM(Q19:U19)</f>
        <v>27729206.376126975</v>
      </c>
      <c r="E40" s="83">
        <f t="shared" si="10"/>
        <v>64999991.135514833</v>
      </c>
    </row>
    <row r="41" spans="2:5" ht="15.75" thickBot="1" x14ac:dyDescent="0.3">
      <c r="B41" s="78" t="s">
        <v>344</v>
      </c>
      <c r="C41" s="85">
        <f>SUM(Q11:U11)</f>
        <v>39139740.109187856</v>
      </c>
      <c r="D41" s="85">
        <f>SUM(Q20:U20)</f>
        <v>35882949.515926972</v>
      </c>
      <c r="E41" s="86">
        <f t="shared" si="10"/>
        <v>75022689.625114828</v>
      </c>
    </row>
    <row r="42" spans="2:5" ht="15.75" thickBot="1" x14ac:dyDescent="0.3"/>
    <row r="43" spans="2:5" ht="30.75" thickBot="1" x14ac:dyDescent="0.3">
      <c r="B43" s="228" t="s">
        <v>318</v>
      </c>
      <c r="C43" s="229" t="s">
        <v>302</v>
      </c>
      <c r="D43" s="230" t="s">
        <v>19</v>
      </c>
      <c r="E43" s="225" t="s">
        <v>303</v>
      </c>
    </row>
    <row r="44" spans="2:5" x14ac:dyDescent="0.25">
      <c r="B44" s="71" t="s">
        <v>303</v>
      </c>
      <c r="C44" s="255">
        <f>(D11+NPV(rata,E11:AH11))/(D12+NPV(rata,E12:AH12))</f>
        <v>0.4861953715826503</v>
      </c>
      <c r="D44" s="255">
        <f>(D20+NPV(rata,E20:AH20))/(D21+NPV(rata,E21:AH21))</f>
        <v>0.48838481350729768</v>
      </c>
      <c r="E44" s="256">
        <f t="shared" ref="E44:E46" si="11">C44+D44</f>
        <v>0.97458018508994804</v>
      </c>
    </row>
    <row r="45" spans="2:5" x14ac:dyDescent="0.25">
      <c r="B45" s="32" t="s">
        <v>304</v>
      </c>
      <c r="C45" s="257">
        <f>(D8+NPV(rata,E8:AH8))/(D12+NPV(rata,E12:AH12))</f>
        <v>3.9059832102936821E-2</v>
      </c>
      <c r="D45" s="257">
        <f>(D17+NPV(rata,E17:AH17))/(D21+NPV(rata,E21:AH21))</f>
        <v>7.9889364550280548E-2</v>
      </c>
      <c r="E45" s="258">
        <f>(C45+D45)</f>
        <v>0.11894919665321738</v>
      </c>
    </row>
    <row r="46" spans="2:5" x14ac:dyDescent="0.25">
      <c r="B46" s="32" t="s">
        <v>305</v>
      </c>
      <c r="C46" s="257">
        <f>(D9+NPV(rata,E9:AH9))/(D12+NPV(rata,E12:AH12))</f>
        <v>1.1376677636710801E-3</v>
      </c>
      <c r="D46" s="257">
        <f>(D18+NPV(rata,E18:AH18))/(D21+NPV(rata,E21:AH21))</f>
        <v>2.2645141453277052E-3</v>
      </c>
      <c r="E46" s="258">
        <f t="shared" si="11"/>
        <v>3.4021819089987853E-3</v>
      </c>
    </row>
    <row r="47" spans="2:5" ht="15.75" thickBot="1" x14ac:dyDescent="0.3">
      <c r="B47" s="78" t="s">
        <v>306</v>
      </c>
      <c r="C47" s="259">
        <f>(D10+NPV(rata,E10:AH10))/(D12+NPV(rata,E12:AH12))</f>
        <v>0.44599787171604238</v>
      </c>
      <c r="D47" s="259">
        <f>(D19+NPV(rata,E19:AH19))/(D21+NPV(rata,E21:AH21))</f>
        <v>0.40623093481168959</v>
      </c>
      <c r="E47" s="260">
        <f>C47+D47</f>
        <v>0.85222880652773192</v>
      </c>
    </row>
    <row r="49" spans="2:7" ht="15.75" thickBot="1" x14ac:dyDescent="0.3"/>
    <row r="50" spans="2:7" ht="30.75" thickBot="1" x14ac:dyDescent="0.3">
      <c r="B50" s="231" t="s">
        <v>319</v>
      </c>
      <c r="C50" s="229" t="s">
        <v>302</v>
      </c>
      <c r="D50" s="230" t="s">
        <v>19</v>
      </c>
      <c r="E50" s="225" t="s">
        <v>303</v>
      </c>
    </row>
    <row r="51" spans="2:7" x14ac:dyDescent="0.25">
      <c r="B51" s="71" t="s">
        <v>303</v>
      </c>
      <c r="C51" s="250">
        <f>C44*Ipoteze!$F$64</f>
        <v>2.1484973470237314</v>
      </c>
      <c r="D51" s="250">
        <f>D44*Ipoteze!$F$64</f>
        <v>2.1581724908887483</v>
      </c>
      <c r="E51" s="251">
        <f>E44*Ipoteze!$F$64</f>
        <v>4.3066698379124801</v>
      </c>
      <c r="G51" s="41"/>
    </row>
    <row r="52" spans="2:7" x14ac:dyDescent="0.25">
      <c r="B52" s="32" t="s">
        <v>304</v>
      </c>
      <c r="C52" s="76">
        <f>C45*Ipoteze!$F$64</f>
        <v>0.17260539806287781</v>
      </c>
      <c r="D52" s="76">
        <f>D45*Ipoteze!$F$64</f>
        <v>0.35303110194768972</v>
      </c>
      <c r="E52" s="77">
        <f>E45*Ipoteze!$F$64</f>
        <v>0.5256365000105675</v>
      </c>
    </row>
    <row r="53" spans="2:7" x14ac:dyDescent="0.25">
      <c r="B53" s="32" t="s">
        <v>305</v>
      </c>
      <c r="C53" s="76">
        <f>C46*Ipoteze!$F$64</f>
        <v>5.0273538476625027E-3</v>
      </c>
      <c r="D53" s="76">
        <f>D46*Ipoteze!$F$64</f>
        <v>1.0006888008203128E-2</v>
      </c>
      <c r="E53" s="77">
        <f>E46*Ipoteze!$F$64</f>
        <v>1.503424185586563E-2</v>
      </c>
    </row>
    <row r="54" spans="2:7" ht="15.75" thickBot="1" x14ac:dyDescent="0.3">
      <c r="B54" s="78" t="s">
        <v>306</v>
      </c>
      <c r="C54" s="79">
        <f>C47*Ipoteze!$F$64</f>
        <v>1.9708645951131911</v>
      </c>
      <c r="D54" s="79">
        <f>D47*Ipoteze!$F$64</f>
        <v>1.7951345009328561</v>
      </c>
      <c r="E54" s="80">
        <f>E47*Ipoteze!$F$64</f>
        <v>3.765999096046047</v>
      </c>
    </row>
  </sheetData>
  <mergeCells count="33">
    <mergeCell ref="AF5:AF6"/>
    <mergeCell ref="AG5:AG6"/>
    <mergeCell ref="AH5:AH6"/>
    <mergeCell ref="Z5:Z6"/>
    <mergeCell ref="AA5:AA6"/>
    <mergeCell ref="AB5:AB6"/>
    <mergeCell ref="AC5:AC6"/>
    <mergeCell ref="AD5:AD6"/>
    <mergeCell ref="AE5:AE6"/>
    <mergeCell ref="Y5:Y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-0.249977111117893"/>
  </sheetPr>
  <dimension ref="A1:AW63"/>
  <sheetViews>
    <sheetView topLeftCell="A3" zoomScale="84" zoomScaleNormal="84" workbookViewId="0">
      <selection activeCell="G76" sqref="G76"/>
    </sheetView>
  </sheetViews>
  <sheetFormatPr defaultColWidth="9.140625" defaultRowHeight="15" x14ac:dyDescent="0.25"/>
  <cols>
    <col min="1" max="1" width="9.140625" style="590"/>
    <col min="2" max="2" width="44.5703125" style="590" customWidth="1"/>
    <col min="3" max="3" width="10.5703125" style="590" customWidth="1"/>
    <col min="4" max="5" width="9.140625" style="590" hidden="1" customWidth="1"/>
    <col min="6" max="6" width="9.140625" style="590" customWidth="1"/>
    <col min="7" max="7" width="15.5703125" style="590" customWidth="1"/>
    <col min="8" max="24" width="17" style="590" customWidth="1"/>
    <col min="25" max="27" width="17.140625" style="590" customWidth="1"/>
    <col min="28" max="29" width="18.28515625" style="590" customWidth="1"/>
    <col min="30" max="31" width="19.28515625" style="590" customWidth="1"/>
    <col min="32" max="33" width="20.85546875" style="590" customWidth="1"/>
    <col min="34" max="34" width="22" style="590" customWidth="1"/>
    <col min="35" max="35" width="16.140625" style="590" customWidth="1"/>
    <col min="36" max="37" width="9.140625" style="590"/>
    <col min="38" max="38" width="15" style="590" bestFit="1" customWidth="1"/>
    <col min="39" max="39" width="9.140625" style="590"/>
    <col min="40" max="40" width="15" style="590" bestFit="1" customWidth="1"/>
    <col min="41" max="16384" width="9.140625" style="590"/>
  </cols>
  <sheetData>
    <row r="1" spans="1:49" ht="15.75" thickBot="1" x14ac:dyDescent="0.3">
      <c r="G1" s="590">
        <v>0</v>
      </c>
      <c r="H1" s="590">
        <f>G1+1</f>
        <v>1</v>
      </c>
      <c r="I1" s="590">
        <f t="shared" ref="I1:AI2" si="0">H1+1</f>
        <v>2</v>
      </c>
      <c r="J1" s="590">
        <f t="shared" si="0"/>
        <v>3</v>
      </c>
      <c r="K1" s="590">
        <f t="shared" si="0"/>
        <v>4</v>
      </c>
      <c r="L1" s="590">
        <f t="shared" si="0"/>
        <v>5</v>
      </c>
      <c r="M1" s="590">
        <f t="shared" si="0"/>
        <v>6</v>
      </c>
      <c r="N1" s="590">
        <f t="shared" si="0"/>
        <v>7</v>
      </c>
      <c r="O1" s="590">
        <f t="shared" si="0"/>
        <v>8</v>
      </c>
      <c r="P1" s="590">
        <f t="shared" si="0"/>
        <v>9</v>
      </c>
      <c r="Q1" s="590">
        <f t="shared" si="0"/>
        <v>10</v>
      </c>
      <c r="R1" s="590">
        <f t="shared" si="0"/>
        <v>11</v>
      </c>
      <c r="S1" s="590">
        <f t="shared" si="0"/>
        <v>12</v>
      </c>
      <c r="T1" s="590">
        <f t="shared" si="0"/>
        <v>13</v>
      </c>
      <c r="U1" s="590">
        <f t="shared" si="0"/>
        <v>14</v>
      </c>
      <c r="V1" s="590">
        <f t="shared" si="0"/>
        <v>15</v>
      </c>
      <c r="W1" s="590">
        <f t="shared" si="0"/>
        <v>16</v>
      </c>
      <c r="X1" s="590">
        <f t="shared" si="0"/>
        <v>17</v>
      </c>
      <c r="Y1" s="590">
        <f t="shared" si="0"/>
        <v>18</v>
      </c>
      <c r="Z1" s="590">
        <f t="shared" si="0"/>
        <v>19</v>
      </c>
      <c r="AA1" s="590">
        <f t="shared" si="0"/>
        <v>20</v>
      </c>
      <c r="AB1" s="590">
        <f t="shared" si="0"/>
        <v>21</v>
      </c>
      <c r="AC1" s="590">
        <f t="shared" si="0"/>
        <v>22</v>
      </c>
      <c r="AD1" s="590">
        <f t="shared" si="0"/>
        <v>23</v>
      </c>
      <c r="AE1" s="590">
        <f t="shared" si="0"/>
        <v>24</v>
      </c>
      <c r="AF1" s="590">
        <f t="shared" si="0"/>
        <v>25</v>
      </c>
      <c r="AG1" s="590">
        <f t="shared" si="0"/>
        <v>26</v>
      </c>
      <c r="AH1" s="590">
        <f t="shared" si="0"/>
        <v>27</v>
      </c>
      <c r="AI1" s="590">
        <f t="shared" si="0"/>
        <v>28</v>
      </c>
    </row>
    <row r="2" spans="1:49" x14ac:dyDescent="0.25">
      <c r="B2" s="740" t="s">
        <v>348</v>
      </c>
      <c r="C2" s="741"/>
      <c r="D2" s="741"/>
      <c r="E2" s="741"/>
      <c r="F2" s="742"/>
      <c r="G2" s="748">
        <v>2014</v>
      </c>
      <c r="H2" s="750">
        <f t="shared" ref="H2" si="1">G2+1</f>
        <v>2015</v>
      </c>
      <c r="I2" s="746">
        <f t="shared" si="0"/>
        <v>2016</v>
      </c>
      <c r="J2" s="746">
        <f t="shared" si="0"/>
        <v>2017</v>
      </c>
      <c r="K2" s="746">
        <f t="shared" si="0"/>
        <v>2018</v>
      </c>
      <c r="L2" s="746">
        <f t="shared" si="0"/>
        <v>2019</v>
      </c>
      <c r="M2" s="746">
        <f t="shared" si="0"/>
        <v>2020</v>
      </c>
      <c r="N2" s="746">
        <f t="shared" si="0"/>
        <v>2021</v>
      </c>
      <c r="O2" s="746">
        <f t="shared" si="0"/>
        <v>2022</v>
      </c>
      <c r="P2" s="746">
        <f t="shared" si="0"/>
        <v>2023</v>
      </c>
      <c r="Q2" s="746">
        <f t="shared" si="0"/>
        <v>2024</v>
      </c>
      <c r="R2" s="746">
        <f t="shared" si="0"/>
        <v>2025</v>
      </c>
      <c r="S2" s="746">
        <f t="shared" si="0"/>
        <v>2026</v>
      </c>
      <c r="T2" s="746">
        <f t="shared" si="0"/>
        <v>2027</v>
      </c>
      <c r="U2" s="746">
        <f t="shared" si="0"/>
        <v>2028</v>
      </c>
      <c r="V2" s="746">
        <f t="shared" si="0"/>
        <v>2029</v>
      </c>
      <c r="W2" s="746">
        <f t="shared" si="0"/>
        <v>2030</v>
      </c>
      <c r="X2" s="746">
        <f t="shared" si="0"/>
        <v>2031</v>
      </c>
      <c r="Y2" s="746">
        <f t="shared" si="0"/>
        <v>2032</v>
      </c>
      <c r="Z2" s="746">
        <f t="shared" si="0"/>
        <v>2033</v>
      </c>
      <c r="AA2" s="746">
        <f t="shared" si="0"/>
        <v>2034</v>
      </c>
      <c r="AB2" s="746">
        <f t="shared" si="0"/>
        <v>2035</v>
      </c>
      <c r="AC2" s="746">
        <f t="shared" si="0"/>
        <v>2036</v>
      </c>
      <c r="AD2" s="746">
        <f t="shared" si="0"/>
        <v>2037</v>
      </c>
      <c r="AE2" s="746">
        <f t="shared" si="0"/>
        <v>2038</v>
      </c>
      <c r="AF2" s="746">
        <f t="shared" si="0"/>
        <v>2039</v>
      </c>
      <c r="AG2" s="746">
        <f t="shared" si="0"/>
        <v>2040</v>
      </c>
      <c r="AH2" s="746">
        <f>AG2+1</f>
        <v>2041</v>
      </c>
      <c r="AI2" s="752">
        <v>2043</v>
      </c>
      <c r="AS2" s="590">
        <v>2014</v>
      </c>
      <c r="AT2" s="590">
        <v>2015</v>
      </c>
      <c r="AU2" s="590">
        <v>2016</v>
      </c>
      <c r="AV2" s="590">
        <v>2017</v>
      </c>
      <c r="AW2" s="590">
        <v>2018</v>
      </c>
    </row>
    <row r="3" spans="1:49" ht="15.75" thickBot="1" x14ac:dyDescent="0.3">
      <c r="B3" s="743"/>
      <c r="C3" s="744"/>
      <c r="D3" s="744"/>
      <c r="E3" s="744"/>
      <c r="F3" s="745"/>
      <c r="G3" s="749"/>
      <c r="H3" s="751"/>
      <c r="I3" s="747"/>
      <c r="J3" s="747"/>
      <c r="K3" s="747"/>
      <c r="L3" s="747"/>
      <c r="M3" s="747"/>
      <c r="N3" s="747"/>
      <c r="O3" s="747"/>
      <c r="P3" s="747"/>
      <c r="Q3" s="747"/>
      <c r="R3" s="747"/>
      <c r="S3" s="747"/>
      <c r="T3" s="747"/>
      <c r="U3" s="747"/>
      <c r="V3" s="747"/>
      <c r="W3" s="747"/>
      <c r="X3" s="747"/>
      <c r="Y3" s="747"/>
      <c r="Z3" s="747"/>
      <c r="AA3" s="747"/>
      <c r="AB3" s="747"/>
      <c r="AC3" s="747"/>
      <c r="AD3" s="747"/>
      <c r="AE3" s="747"/>
      <c r="AF3" s="747"/>
      <c r="AG3" s="747"/>
      <c r="AH3" s="747"/>
      <c r="AI3" s="753"/>
      <c r="AR3" s="590" t="s">
        <v>650</v>
      </c>
      <c r="AS3" s="590">
        <v>4.4821</v>
      </c>
      <c r="AT3" s="590">
        <v>4.5244999999999997</v>
      </c>
      <c r="AU3" s="590">
        <v>4.4908000000000001</v>
      </c>
      <c r="AV3" s="590">
        <v>4.5681000000000003</v>
      </c>
      <c r="AW3" s="590">
        <v>4.6535000000000002</v>
      </c>
    </row>
    <row r="4" spans="1:49" x14ac:dyDescent="0.25">
      <c r="B4" s="590" t="s">
        <v>293</v>
      </c>
      <c r="H4" s="605">
        <v>0.02</v>
      </c>
      <c r="I4" s="605">
        <v>0.02</v>
      </c>
      <c r="J4" s="605">
        <v>0.02</v>
      </c>
      <c r="K4" s="605">
        <v>0.02</v>
      </c>
      <c r="L4" s="605">
        <v>0.02</v>
      </c>
      <c r="M4" s="605">
        <v>0.02</v>
      </c>
      <c r="N4" s="605">
        <v>0.02</v>
      </c>
      <c r="O4" s="605">
        <v>0.02</v>
      </c>
      <c r="P4" s="605">
        <v>0.02</v>
      </c>
      <c r="Q4" s="605">
        <v>0.02</v>
      </c>
      <c r="R4" s="605">
        <v>0.02</v>
      </c>
      <c r="S4" s="605">
        <v>0.02</v>
      </c>
      <c r="T4" s="605">
        <v>0.02</v>
      </c>
      <c r="U4" s="605">
        <v>0.02</v>
      </c>
      <c r="V4" s="605">
        <v>0.02</v>
      </c>
      <c r="W4" s="605">
        <v>0.02</v>
      </c>
      <c r="X4" s="605">
        <v>0.02</v>
      </c>
      <c r="Y4" s="605">
        <v>0.02</v>
      </c>
      <c r="Z4" s="605">
        <v>0.02</v>
      </c>
      <c r="AA4" s="605">
        <v>0.02</v>
      </c>
      <c r="AB4" s="605">
        <v>0.02</v>
      </c>
      <c r="AC4" s="605">
        <v>0.02</v>
      </c>
      <c r="AD4" s="605">
        <v>0.02</v>
      </c>
      <c r="AE4" s="605">
        <v>0.02</v>
      </c>
      <c r="AF4" s="605">
        <v>0.02</v>
      </c>
      <c r="AG4" s="605">
        <v>0.02</v>
      </c>
      <c r="AH4" s="605">
        <v>0.02</v>
      </c>
      <c r="AI4" s="605">
        <v>0.02</v>
      </c>
    </row>
    <row r="5" spans="1:49" x14ac:dyDescent="0.25">
      <c r="B5" s="590" t="s">
        <v>307</v>
      </c>
      <c r="H5" s="605">
        <v>0.01</v>
      </c>
      <c r="I5" s="605">
        <v>0.01</v>
      </c>
      <c r="J5" s="605">
        <v>0.01</v>
      </c>
      <c r="K5" s="605">
        <v>0.01</v>
      </c>
      <c r="L5" s="605">
        <v>0.01</v>
      </c>
      <c r="M5" s="605">
        <v>0.01</v>
      </c>
      <c r="N5" s="605">
        <v>0.01</v>
      </c>
      <c r="O5" s="605">
        <v>0.01</v>
      </c>
      <c r="P5" s="605">
        <v>0.01</v>
      </c>
      <c r="Q5" s="605">
        <v>0.01</v>
      </c>
      <c r="R5" s="605">
        <v>0.01</v>
      </c>
      <c r="S5" s="605">
        <v>0.01</v>
      </c>
      <c r="T5" s="605">
        <v>0.01</v>
      </c>
      <c r="U5" s="605">
        <v>0.01</v>
      </c>
      <c r="V5" s="605">
        <v>0.01</v>
      </c>
      <c r="W5" s="605">
        <v>0.01</v>
      </c>
      <c r="X5" s="605">
        <v>0.01</v>
      </c>
      <c r="Y5" s="605">
        <v>0.01</v>
      </c>
      <c r="Z5" s="605">
        <v>0.01</v>
      </c>
      <c r="AA5" s="605">
        <v>0.01</v>
      </c>
      <c r="AB5" s="605">
        <v>0.01</v>
      </c>
      <c r="AC5" s="605">
        <v>0.01</v>
      </c>
      <c r="AD5" s="605">
        <v>0.01</v>
      </c>
      <c r="AE5" s="605">
        <v>0.01</v>
      </c>
      <c r="AF5" s="605">
        <v>0.01</v>
      </c>
      <c r="AG5" s="605">
        <v>0.01</v>
      </c>
      <c r="AH5" s="605">
        <v>0.01</v>
      </c>
      <c r="AI5" s="605">
        <v>0.01</v>
      </c>
    </row>
    <row r="6" spans="1:49" x14ac:dyDescent="0.25">
      <c r="B6" s="590" t="s">
        <v>294</v>
      </c>
      <c r="G6" s="606"/>
      <c r="H6" s="607">
        <v>2.5000000000000001E-2</v>
      </c>
      <c r="I6" s="607">
        <v>2.5000000000000001E-2</v>
      </c>
      <c r="J6" s="607">
        <v>2.5000000000000001E-2</v>
      </c>
      <c r="K6" s="607">
        <v>2.5000000000000001E-2</v>
      </c>
      <c r="L6" s="607">
        <v>2.5000000000000001E-2</v>
      </c>
      <c r="M6" s="607">
        <v>2.5000000000000001E-2</v>
      </c>
      <c r="N6" s="607">
        <v>2.5000000000000001E-2</v>
      </c>
      <c r="O6" s="607">
        <v>2.5000000000000001E-2</v>
      </c>
      <c r="P6" s="607">
        <v>2.5000000000000001E-2</v>
      </c>
      <c r="Q6" s="607">
        <v>2.5000000000000001E-2</v>
      </c>
      <c r="R6" s="607">
        <v>2.5000000000000001E-2</v>
      </c>
      <c r="S6" s="607">
        <v>2.5000000000000001E-2</v>
      </c>
      <c r="T6" s="607">
        <v>2.5000000000000001E-2</v>
      </c>
      <c r="U6" s="607">
        <v>2.5000000000000001E-2</v>
      </c>
      <c r="V6" s="607">
        <v>2.5000000000000001E-2</v>
      </c>
      <c r="W6" s="607">
        <v>2.5000000000000001E-2</v>
      </c>
      <c r="X6" s="607">
        <v>2.5000000000000001E-2</v>
      </c>
      <c r="Y6" s="607">
        <v>2.5000000000000001E-2</v>
      </c>
      <c r="Z6" s="607">
        <v>2.5000000000000001E-2</v>
      </c>
      <c r="AA6" s="607">
        <v>2.5000000000000001E-2</v>
      </c>
      <c r="AB6" s="607">
        <v>2.5000000000000001E-2</v>
      </c>
      <c r="AC6" s="607">
        <v>2.5000000000000001E-2</v>
      </c>
      <c r="AD6" s="607">
        <v>2.5000000000000001E-2</v>
      </c>
      <c r="AE6" s="607">
        <v>2.5000000000000001E-2</v>
      </c>
      <c r="AF6" s="607">
        <v>2.5000000000000001E-2</v>
      </c>
      <c r="AG6" s="607">
        <v>2.5000000000000001E-2</v>
      </c>
      <c r="AH6" s="607">
        <v>2.5000000000000001E-2</v>
      </c>
      <c r="AI6" s="607">
        <v>2.5000000000000001E-2</v>
      </c>
    </row>
    <row r="7" spans="1:49" x14ac:dyDescent="0.25">
      <c r="B7" s="755" t="s">
        <v>308</v>
      </c>
      <c r="C7" s="755"/>
      <c r="D7" s="548"/>
      <c r="E7" s="548"/>
      <c r="F7" s="548"/>
      <c r="G7" s="608">
        <v>1</v>
      </c>
      <c r="H7" s="609">
        <f>G7*(1+H4)</f>
        <v>1.02</v>
      </c>
      <c r="I7" s="609">
        <f t="shared" ref="I7:AI9" si="2">H7*(1+I4)</f>
        <v>1.0404</v>
      </c>
      <c r="J7" s="609">
        <f t="shared" si="2"/>
        <v>1.0612079999999999</v>
      </c>
      <c r="K7" s="609">
        <f t="shared" si="2"/>
        <v>1.08243216</v>
      </c>
      <c r="L7" s="609">
        <f t="shared" si="2"/>
        <v>1.1040808032</v>
      </c>
      <c r="M7" s="609">
        <f t="shared" si="2"/>
        <v>1.1261624192640001</v>
      </c>
      <c r="N7" s="609">
        <f t="shared" si="2"/>
        <v>1.14868566764928</v>
      </c>
      <c r="O7" s="609">
        <f t="shared" si="2"/>
        <v>1.1716593810022657</v>
      </c>
      <c r="P7" s="609">
        <f t="shared" si="2"/>
        <v>1.1950925686223111</v>
      </c>
      <c r="Q7" s="609">
        <f t="shared" si="2"/>
        <v>1.2189944199947573</v>
      </c>
      <c r="R7" s="609">
        <f t="shared" si="2"/>
        <v>1.2433743083946525</v>
      </c>
      <c r="S7" s="609">
        <f t="shared" si="2"/>
        <v>1.2682417945625455</v>
      </c>
      <c r="T7" s="609">
        <f t="shared" si="2"/>
        <v>1.2936066304537963</v>
      </c>
      <c r="U7" s="609">
        <f t="shared" si="2"/>
        <v>1.3194787630628724</v>
      </c>
      <c r="V7" s="609">
        <f>U7*(1+V4)</f>
        <v>1.3458683383241299</v>
      </c>
      <c r="W7" s="609">
        <f t="shared" si="2"/>
        <v>1.3727857050906125</v>
      </c>
      <c r="X7" s="609">
        <f t="shared" si="2"/>
        <v>1.4002414191924248</v>
      </c>
      <c r="Y7" s="609">
        <f t="shared" si="2"/>
        <v>1.4282462475762734</v>
      </c>
      <c r="Z7" s="609">
        <f t="shared" si="2"/>
        <v>1.4568111725277988</v>
      </c>
      <c r="AA7" s="609">
        <f t="shared" si="2"/>
        <v>1.4859473959783549</v>
      </c>
      <c r="AB7" s="609">
        <f t="shared" si="2"/>
        <v>1.5156663438979221</v>
      </c>
      <c r="AC7" s="609">
        <f t="shared" si="2"/>
        <v>1.5459796707758806</v>
      </c>
      <c r="AD7" s="609">
        <f t="shared" si="2"/>
        <v>1.5768992641913981</v>
      </c>
      <c r="AE7" s="609">
        <f t="shared" si="2"/>
        <v>1.6084372494752261</v>
      </c>
      <c r="AF7" s="609">
        <f t="shared" si="2"/>
        <v>1.6406059944647307</v>
      </c>
      <c r="AG7" s="609">
        <f t="shared" si="2"/>
        <v>1.6734181143540252</v>
      </c>
      <c r="AH7" s="609">
        <f t="shared" si="2"/>
        <v>1.7068864766411058</v>
      </c>
      <c r="AI7" s="609">
        <f t="shared" si="2"/>
        <v>1.7410242061739281</v>
      </c>
    </row>
    <row r="8" spans="1:49" x14ac:dyDescent="0.25">
      <c r="B8" s="755" t="s">
        <v>309</v>
      </c>
      <c r="C8" s="755"/>
      <c r="D8" s="548"/>
      <c r="E8" s="548"/>
      <c r="F8" s="548"/>
      <c r="G8" s="608">
        <v>1</v>
      </c>
      <c r="H8" s="609">
        <f>G8*(1+H5)</f>
        <v>1.01</v>
      </c>
      <c r="I8" s="609">
        <f t="shared" si="2"/>
        <v>1.0201</v>
      </c>
      <c r="J8" s="609">
        <f t="shared" si="2"/>
        <v>1.0303009999999999</v>
      </c>
      <c r="K8" s="609">
        <f t="shared" si="2"/>
        <v>1.04060401</v>
      </c>
      <c r="L8" s="609">
        <f t="shared" si="2"/>
        <v>1.0510100500999999</v>
      </c>
      <c r="M8" s="609">
        <f t="shared" si="2"/>
        <v>1.0615201506009999</v>
      </c>
      <c r="N8" s="609">
        <f t="shared" si="2"/>
        <v>1.0721353521070098</v>
      </c>
      <c r="O8" s="609">
        <f t="shared" si="2"/>
        <v>1.08285670562808</v>
      </c>
      <c r="P8" s="609">
        <f t="shared" si="2"/>
        <v>1.0936852726843609</v>
      </c>
      <c r="Q8" s="609">
        <f t="shared" si="2"/>
        <v>1.1046221254112045</v>
      </c>
      <c r="R8" s="609">
        <f t="shared" si="2"/>
        <v>1.1156683466653166</v>
      </c>
      <c r="S8" s="609">
        <f t="shared" si="2"/>
        <v>1.1268250301319698</v>
      </c>
      <c r="T8" s="609">
        <f t="shared" si="2"/>
        <v>1.1380932804332895</v>
      </c>
      <c r="U8" s="609">
        <f t="shared" si="2"/>
        <v>1.1494742132376223</v>
      </c>
      <c r="V8" s="609">
        <f t="shared" si="2"/>
        <v>1.1609689553699987</v>
      </c>
      <c r="W8" s="609">
        <f t="shared" si="2"/>
        <v>1.1725786449236986</v>
      </c>
      <c r="X8" s="609">
        <f t="shared" si="2"/>
        <v>1.1843044313729356</v>
      </c>
      <c r="Y8" s="609">
        <f t="shared" si="2"/>
        <v>1.196147475686665</v>
      </c>
      <c r="Z8" s="609">
        <f t="shared" si="2"/>
        <v>1.2081089504435316</v>
      </c>
      <c r="AA8" s="609">
        <f t="shared" si="2"/>
        <v>1.220190039947967</v>
      </c>
      <c r="AB8" s="609">
        <f t="shared" si="2"/>
        <v>1.2323919403474468</v>
      </c>
      <c r="AC8" s="609">
        <f t="shared" si="2"/>
        <v>1.2447158597509214</v>
      </c>
      <c r="AD8" s="609">
        <f t="shared" si="2"/>
        <v>1.2571630183484306</v>
      </c>
      <c r="AE8" s="609">
        <f t="shared" si="2"/>
        <v>1.269734648531915</v>
      </c>
      <c r="AF8" s="609">
        <f t="shared" si="2"/>
        <v>1.282431995017234</v>
      </c>
      <c r="AG8" s="609">
        <f t="shared" si="2"/>
        <v>1.2952563149674063</v>
      </c>
      <c r="AH8" s="609">
        <f t="shared" si="2"/>
        <v>1.3082088781170804</v>
      </c>
      <c r="AI8" s="609">
        <f t="shared" si="2"/>
        <v>1.3212909668982513</v>
      </c>
    </row>
    <row r="9" spans="1:49" x14ac:dyDescent="0.25">
      <c r="B9" s="548" t="s">
        <v>310</v>
      </c>
      <c r="C9" s="548"/>
      <c r="D9" s="548"/>
      <c r="E9" s="548"/>
      <c r="F9" s="548"/>
      <c r="G9" s="608">
        <v>1</v>
      </c>
      <c r="H9" s="609">
        <f>G9*(1+H6)</f>
        <v>1.0249999999999999</v>
      </c>
      <c r="I9" s="609">
        <f t="shared" si="2"/>
        <v>1.0506249999999999</v>
      </c>
      <c r="J9" s="609">
        <f t="shared" si="2"/>
        <v>1.0768906249999999</v>
      </c>
      <c r="K9" s="609">
        <f t="shared" si="2"/>
        <v>1.1038128906249998</v>
      </c>
      <c r="L9" s="609">
        <f t="shared" si="2"/>
        <v>1.1314082128906247</v>
      </c>
      <c r="M9" s="609">
        <f t="shared" si="2"/>
        <v>1.1596934182128902</v>
      </c>
      <c r="N9" s="609">
        <f t="shared" si="2"/>
        <v>1.1886857536682123</v>
      </c>
      <c r="O9" s="609">
        <f t="shared" si="2"/>
        <v>1.2184028975099175</v>
      </c>
      <c r="P9" s="609">
        <f t="shared" si="2"/>
        <v>1.2488629699476652</v>
      </c>
      <c r="Q9" s="609">
        <f t="shared" si="2"/>
        <v>1.2800845441963566</v>
      </c>
      <c r="R9" s="609">
        <f t="shared" si="2"/>
        <v>1.3120866578012655</v>
      </c>
      <c r="S9" s="609">
        <f t="shared" si="2"/>
        <v>1.3448888242462971</v>
      </c>
      <c r="T9" s="609">
        <f t="shared" si="2"/>
        <v>1.3785110448524545</v>
      </c>
      <c r="U9" s="609">
        <f t="shared" si="2"/>
        <v>1.4129738209737657</v>
      </c>
      <c r="V9" s="609">
        <f t="shared" si="2"/>
        <v>1.4482981664981096</v>
      </c>
      <c r="W9" s="609">
        <f t="shared" si="2"/>
        <v>1.4845056206605622</v>
      </c>
      <c r="X9" s="609">
        <f t="shared" si="2"/>
        <v>1.5216182611770761</v>
      </c>
      <c r="Y9" s="609">
        <f t="shared" si="2"/>
        <v>1.5596587177065029</v>
      </c>
      <c r="Z9" s="609">
        <f t="shared" si="2"/>
        <v>1.5986501856491653</v>
      </c>
      <c r="AA9" s="609">
        <f t="shared" si="2"/>
        <v>1.6386164402903942</v>
      </c>
      <c r="AB9" s="609">
        <f t="shared" si="2"/>
        <v>1.6795818512976539</v>
      </c>
      <c r="AC9" s="609">
        <f t="shared" si="2"/>
        <v>1.721571397580095</v>
      </c>
      <c r="AD9" s="609">
        <f t="shared" si="2"/>
        <v>1.7646106825195973</v>
      </c>
      <c r="AE9" s="609">
        <f t="shared" si="2"/>
        <v>1.8087259495825871</v>
      </c>
      <c r="AF9" s="609">
        <f t="shared" si="2"/>
        <v>1.8539440983221516</v>
      </c>
      <c r="AG9" s="609">
        <f t="shared" si="2"/>
        <v>1.9002927007802053</v>
      </c>
      <c r="AH9" s="609">
        <f t="shared" si="2"/>
        <v>1.9478000182997102</v>
      </c>
      <c r="AI9" s="609">
        <f t="shared" si="2"/>
        <v>1.9964950187572028</v>
      </c>
    </row>
    <row r="10" spans="1:49" x14ac:dyDescent="0.25">
      <c r="B10" s="756" t="s">
        <v>531</v>
      </c>
      <c r="C10" s="757" t="s">
        <v>272</v>
      </c>
      <c r="D10" s="758">
        <v>2011</v>
      </c>
      <c r="E10" s="754">
        <f>D10+1</f>
        <v>2012</v>
      </c>
      <c r="F10" s="754">
        <f t="shared" ref="F10:AG10" si="3">E10+1</f>
        <v>2013</v>
      </c>
      <c r="G10" s="754">
        <f t="shared" si="3"/>
        <v>2014</v>
      </c>
      <c r="H10" s="754">
        <f t="shared" si="3"/>
        <v>2015</v>
      </c>
      <c r="I10" s="754">
        <f t="shared" si="3"/>
        <v>2016</v>
      </c>
      <c r="J10" s="754">
        <f t="shared" si="3"/>
        <v>2017</v>
      </c>
      <c r="K10" s="754">
        <f t="shared" si="3"/>
        <v>2018</v>
      </c>
      <c r="L10" s="754">
        <f t="shared" si="3"/>
        <v>2019</v>
      </c>
      <c r="M10" s="754">
        <f t="shared" si="3"/>
        <v>2020</v>
      </c>
      <c r="N10" s="754">
        <f t="shared" si="3"/>
        <v>2021</v>
      </c>
      <c r="O10" s="754">
        <f t="shared" si="3"/>
        <v>2022</v>
      </c>
      <c r="P10" s="754">
        <f t="shared" si="3"/>
        <v>2023</v>
      </c>
      <c r="Q10" s="754">
        <f t="shared" si="3"/>
        <v>2024</v>
      </c>
      <c r="R10" s="754">
        <f t="shared" si="3"/>
        <v>2025</v>
      </c>
      <c r="S10" s="754">
        <f t="shared" si="3"/>
        <v>2026</v>
      </c>
      <c r="T10" s="754">
        <f t="shared" si="3"/>
        <v>2027</v>
      </c>
      <c r="U10" s="754">
        <f t="shared" si="3"/>
        <v>2028</v>
      </c>
      <c r="V10" s="754">
        <f t="shared" si="3"/>
        <v>2029</v>
      </c>
      <c r="W10" s="754">
        <f t="shared" si="3"/>
        <v>2030</v>
      </c>
      <c r="X10" s="754">
        <f t="shared" si="3"/>
        <v>2031</v>
      </c>
      <c r="Y10" s="754">
        <f t="shared" si="3"/>
        <v>2032</v>
      </c>
      <c r="Z10" s="754">
        <f t="shared" si="3"/>
        <v>2033</v>
      </c>
      <c r="AA10" s="754">
        <f t="shared" si="3"/>
        <v>2034</v>
      </c>
      <c r="AB10" s="754">
        <f t="shared" si="3"/>
        <v>2035</v>
      </c>
      <c r="AC10" s="754">
        <f t="shared" si="3"/>
        <v>2036</v>
      </c>
      <c r="AD10" s="754">
        <f t="shared" si="3"/>
        <v>2037</v>
      </c>
      <c r="AE10" s="754">
        <f t="shared" si="3"/>
        <v>2038</v>
      </c>
      <c r="AF10" s="754">
        <f t="shared" si="3"/>
        <v>2039</v>
      </c>
      <c r="AG10" s="754">
        <f t="shared" si="3"/>
        <v>2040</v>
      </c>
      <c r="AH10" s="754">
        <f>AG10+1</f>
        <v>2041</v>
      </c>
      <c r="AI10" s="754">
        <v>2043</v>
      </c>
    </row>
    <row r="11" spans="1:49" x14ac:dyDescent="0.25">
      <c r="B11" s="756"/>
      <c r="C11" s="757"/>
      <c r="D11" s="758"/>
      <c r="E11" s="754"/>
      <c r="F11" s="754"/>
      <c r="G11" s="754"/>
      <c r="H11" s="754"/>
      <c r="I11" s="754"/>
      <c r="J11" s="754"/>
      <c r="K11" s="754"/>
      <c r="L11" s="754"/>
      <c r="M11" s="754"/>
      <c r="N11" s="754"/>
      <c r="O11" s="754"/>
      <c r="P11" s="754"/>
      <c r="Q11" s="754"/>
      <c r="R11" s="754"/>
      <c r="S11" s="754"/>
      <c r="T11" s="754"/>
      <c r="U11" s="754"/>
      <c r="V11" s="754"/>
      <c r="W11" s="754"/>
      <c r="X11" s="754"/>
      <c r="Y11" s="754"/>
      <c r="Z11" s="754"/>
      <c r="AA11" s="754"/>
      <c r="AB11" s="754"/>
      <c r="AC11" s="754"/>
      <c r="AD11" s="754"/>
      <c r="AE11" s="754"/>
      <c r="AF11" s="754"/>
      <c r="AG11" s="754"/>
      <c r="AH11" s="754"/>
      <c r="AI11" s="754"/>
    </row>
    <row r="12" spans="1:49" ht="32.25" customHeight="1" x14ac:dyDescent="0.25">
      <c r="A12" s="659"/>
      <c r="B12" s="655" t="s">
        <v>275</v>
      </c>
      <c r="C12" s="548"/>
      <c r="D12" s="548"/>
      <c r="E12" s="548"/>
      <c r="F12" s="548"/>
      <c r="G12" s="620">
        <f>G13/G28</f>
        <v>0.42406722856913603</v>
      </c>
      <c r="H12" s="620">
        <f t="shared" ref="H12:AI12" si="4">H13/H28</f>
        <v>0.38753417098257531</v>
      </c>
      <c r="I12" s="620">
        <f t="shared" si="4"/>
        <v>0.43917982402830003</v>
      </c>
      <c r="J12" s="620">
        <f t="shared" si="4"/>
        <v>0.41299319615158109</v>
      </c>
      <c r="K12" s="620">
        <f t="shared" si="4"/>
        <v>0.4006408901636101</v>
      </c>
      <c r="L12" s="620">
        <f t="shared" si="4"/>
        <v>0.35849704746468003</v>
      </c>
      <c r="M12" s="620">
        <f t="shared" si="4"/>
        <v>0.34960394213719237</v>
      </c>
      <c r="N12" s="620">
        <f t="shared" si="4"/>
        <v>0.29073463274303357</v>
      </c>
      <c r="O12" s="620">
        <f t="shared" si="4"/>
        <v>0.27918349569160261</v>
      </c>
      <c r="P12" s="620">
        <f t="shared" si="4"/>
        <v>0.27452873541682377</v>
      </c>
      <c r="Q12" s="620">
        <f t="shared" si="4"/>
        <v>0.2847550656714613</v>
      </c>
      <c r="R12" s="620">
        <f t="shared" si="4"/>
        <v>0.28514855489875746</v>
      </c>
      <c r="S12" s="620">
        <f t="shared" si="4"/>
        <v>0.28554126225035248</v>
      </c>
      <c r="T12" s="620">
        <f t="shared" si="4"/>
        <v>0.28593318635309756</v>
      </c>
      <c r="U12" s="620">
        <f t="shared" si="4"/>
        <v>0.28632432596399038</v>
      </c>
      <c r="V12" s="620">
        <f t="shared" si="4"/>
        <v>0.28671467996825606</v>
      </c>
      <c r="W12" s="620">
        <f t="shared" si="4"/>
        <v>0.28710424737739865</v>
      </c>
      <c r="X12" s="620">
        <f t="shared" si="4"/>
        <v>0.2873566847552193</v>
      </c>
      <c r="Y12" s="620">
        <f t="shared" si="4"/>
        <v>0.28810008227526901</v>
      </c>
      <c r="Z12" s="620">
        <f t="shared" si="4"/>
        <v>0.28884042262831922</v>
      </c>
      <c r="AA12" s="620">
        <f t="shared" si="4"/>
        <v>0.28957769932087357</v>
      </c>
      <c r="AB12" s="620">
        <f t="shared" si="4"/>
        <v>0.29031190625999309</v>
      </c>
      <c r="AC12" s="620">
        <f t="shared" si="4"/>
        <v>0.29104303774884471</v>
      </c>
      <c r="AD12" s="620">
        <f t="shared" si="4"/>
        <v>0.29177108848217281</v>
      </c>
      <c r="AE12" s="620">
        <f t="shared" si="4"/>
        <v>0.29249605354170194</v>
      </c>
      <c r="AF12" s="620">
        <f t="shared" si="4"/>
        <v>0.29321792839147054</v>
      </c>
      <c r="AG12" s="620">
        <f t="shared" si="4"/>
        <v>0.29393670887310197</v>
      </c>
      <c r="AH12" s="620">
        <f t="shared" si="4"/>
        <v>0.29433520646962441</v>
      </c>
      <c r="AI12" s="620">
        <f t="shared" si="4"/>
        <v>0.29472864425198259</v>
      </c>
    </row>
    <row r="13" spans="1:49" x14ac:dyDescent="0.25">
      <c r="A13" s="654"/>
      <c r="B13" s="656" t="s">
        <v>282</v>
      </c>
      <c r="C13" s="548" t="s">
        <v>286</v>
      </c>
      <c r="D13" s="548"/>
      <c r="E13" s="548"/>
      <c r="F13" s="548"/>
      <c r="G13" s="610">
        <f t="shared" ref="G13:AI13" si="5">SUM(G14:G16)</f>
        <v>1400228.6601756946</v>
      </c>
      <c r="H13" s="610">
        <f t="shared" si="5"/>
        <v>1365264.0327917687</v>
      </c>
      <c r="I13" s="610">
        <f t="shared" si="5"/>
        <v>1491596.2174802606</v>
      </c>
      <c r="J13" s="611">
        <f>SUM(J14:J16)</f>
        <v>1546207.2655344435</v>
      </c>
      <c r="K13" s="611">
        <f t="shared" si="5"/>
        <v>1568490.6315246189</v>
      </c>
      <c r="L13" s="611">
        <f t="shared" si="5"/>
        <v>1525202.5973543113</v>
      </c>
      <c r="M13" s="611">
        <f t="shared" si="5"/>
        <v>1551610.1889659956</v>
      </c>
      <c r="N13" s="611">
        <f t="shared" si="5"/>
        <v>1578510.3087130529</v>
      </c>
      <c r="O13" s="611">
        <f t="shared" si="5"/>
        <v>1605912.5844438847</v>
      </c>
      <c r="P13" s="611">
        <f t="shared" si="5"/>
        <v>1633826.8376747835</v>
      </c>
      <c r="Q13" s="611">
        <f t="shared" si="5"/>
        <v>1662263.0875578525</v>
      </c>
      <c r="R13" s="611">
        <f t="shared" si="5"/>
        <v>1691231.5549313137</v>
      </c>
      <c r="S13" s="611">
        <f t="shared" si="5"/>
        <v>1720742.6664539385</v>
      </c>
      <c r="T13" s="611">
        <f t="shared" si="5"/>
        <v>1750807.0588253632</v>
      </c>
      <c r="U13" s="611">
        <f t="shared" si="5"/>
        <v>1781435.5830941009</v>
      </c>
      <c r="V13" s="611">
        <f t="shared" si="5"/>
        <v>1812639.3090550825</v>
      </c>
      <c r="W13" s="611">
        <f t="shared" si="5"/>
        <v>1844429.5297386204</v>
      </c>
      <c r="X13" s="611">
        <f>SUM(X14:X16)</f>
        <v>1876817.765992708</v>
      </c>
      <c r="Y13" s="611">
        <f t="shared" si="5"/>
        <v>1909815.7711606212</v>
      </c>
      <c r="Z13" s="611">
        <f t="shared" si="5"/>
        <v>1943435.5358558276</v>
      </c>
      <c r="AA13" s="611">
        <f t="shared" si="5"/>
        <v>1977689.2928362493</v>
      </c>
      <c r="AB13" s="611">
        <f t="shared" si="5"/>
        <v>2012589.5219799681</v>
      </c>
      <c r="AC13" s="611">
        <f t="shared" si="5"/>
        <v>2048148.9553645127</v>
      </c>
      <c r="AD13" s="611">
        <f t="shared" si="5"/>
        <v>2084380.5824519075</v>
      </c>
      <c r="AE13" s="611">
        <f t="shared" si="5"/>
        <v>2121297.6553817028</v>
      </c>
      <c r="AF13" s="611">
        <f t="shared" si="5"/>
        <v>2158913.694374274</v>
      </c>
      <c r="AG13" s="611">
        <f t="shared" si="5"/>
        <v>2197242.4932467043</v>
      </c>
      <c r="AH13" s="611">
        <f t="shared" si="5"/>
        <v>2236298.1250436185</v>
      </c>
      <c r="AI13" s="611">
        <f t="shared" si="5"/>
        <v>2276094.9477854073</v>
      </c>
      <c r="AL13" s="612">
        <f>0.288*$G$29^0.9146</f>
        <v>536726.72522439703</v>
      </c>
      <c r="AN13" s="612">
        <f>0.005*[19]Sheet1!$K$686*1000</f>
        <v>756263.45188717125</v>
      </c>
    </row>
    <row r="14" spans="1:49" x14ac:dyDescent="0.25">
      <c r="B14" s="548" t="s">
        <v>283</v>
      </c>
      <c r="C14" s="548" t="s">
        <v>286</v>
      </c>
      <c r="D14" s="548"/>
      <c r="E14" s="548"/>
      <c r="F14" s="548"/>
      <c r="G14" s="613">
        <v>913645.47868186783</v>
      </c>
      <c r="H14" s="613">
        <v>872870.90286219481</v>
      </c>
      <c r="I14" s="613">
        <v>993311.43671506178</v>
      </c>
      <c r="J14" s="613">
        <v>1041947.7244368554</v>
      </c>
      <c r="K14" s="613">
        <v>1058171.7846781991</v>
      </c>
      <c r="L14" s="613">
        <f t="shared" ref="L14:AI14" si="6">$G14*L7</f>
        <v>1008738.4339431251</v>
      </c>
      <c r="M14" s="613">
        <f t="shared" si="6"/>
        <v>1028913.2026219877</v>
      </c>
      <c r="N14" s="613">
        <f t="shared" si="6"/>
        <v>1049491.4666744275</v>
      </c>
      <c r="O14" s="613">
        <f t="shared" si="6"/>
        <v>1070481.2960079161</v>
      </c>
      <c r="P14" s="613">
        <f t="shared" si="6"/>
        <v>1091890.9219280744</v>
      </c>
      <c r="Q14" s="613">
        <f t="shared" si="6"/>
        <v>1113728.7403666358</v>
      </c>
      <c r="R14" s="613">
        <f t="shared" si="6"/>
        <v>1136003.3151739687</v>
      </c>
      <c r="S14" s="613">
        <f t="shared" si="6"/>
        <v>1158723.3814774479</v>
      </c>
      <c r="T14" s="613">
        <f t="shared" si="6"/>
        <v>1181897.8491069968</v>
      </c>
      <c r="U14" s="613">
        <f t="shared" si="6"/>
        <v>1205535.806089137</v>
      </c>
      <c r="V14" s="613">
        <f t="shared" si="6"/>
        <v>1229646.5222109198</v>
      </c>
      <c r="W14" s="613">
        <f t="shared" si="6"/>
        <v>1254239.452655138</v>
      </c>
      <c r="X14" s="613">
        <f>$G14*X7</f>
        <v>1279324.2417082409</v>
      </c>
      <c r="Y14" s="613">
        <f t="shared" si="6"/>
        <v>1304910.7265424058</v>
      </c>
      <c r="Z14" s="613">
        <f t="shared" si="6"/>
        <v>1331008.9410732538</v>
      </c>
      <c r="AA14" s="613">
        <f t="shared" si="6"/>
        <v>1357629.119894719</v>
      </c>
      <c r="AB14" s="613">
        <f t="shared" si="6"/>
        <v>1384781.7022926135</v>
      </c>
      <c r="AC14" s="613">
        <f t="shared" si="6"/>
        <v>1412477.3363384658</v>
      </c>
      <c r="AD14" s="613">
        <f t="shared" si="6"/>
        <v>1440726.8830652351</v>
      </c>
      <c r="AE14" s="613">
        <f t="shared" si="6"/>
        <v>1469541.4207265398</v>
      </c>
      <c r="AF14" s="613">
        <f t="shared" si="6"/>
        <v>1498932.2491410705</v>
      </c>
      <c r="AG14" s="613">
        <f t="shared" si="6"/>
        <v>1528910.8941238921</v>
      </c>
      <c r="AH14" s="613">
        <f t="shared" si="6"/>
        <v>1559489.11200637</v>
      </c>
      <c r="AI14" s="613">
        <f t="shared" si="6"/>
        <v>1590678.8942464974</v>
      </c>
      <c r="AJ14" s="624">
        <f>G14/$G$13</f>
        <v>0.65249734180360763</v>
      </c>
      <c r="AK14" s="614">
        <f>H14/H13</f>
        <v>0.63934219454774566</v>
      </c>
      <c r="AL14" s="614">
        <f>N14/$N$13</f>
        <v>0.66486196566563427</v>
      </c>
      <c r="AM14" s="614">
        <f>S14/$S$13</f>
        <v>0.67338562823302028</v>
      </c>
      <c r="AN14" s="615">
        <f>X14/$X$13</f>
        <v>0.68164542391336858</v>
      </c>
      <c r="AO14" s="615">
        <f>AC14/AC13</f>
        <v>0.68963604069855589</v>
      </c>
      <c r="AP14" s="616">
        <f>AI14/AI13</f>
        <v>0.69886315410268574</v>
      </c>
    </row>
    <row r="15" spans="1:49" x14ac:dyDescent="0.25">
      <c r="B15" s="548" t="s">
        <v>284</v>
      </c>
      <c r="C15" s="548" t="s">
        <v>286</v>
      </c>
      <c r="D15" s="548"/>
      <c r="E15" s="548"/>
      <c r="F15" s="548"/>
      <c r="G15" s="613">
        <f>314705.540269639/5</f>
        <v>62941.108053927797</v>
      </c>
      <c r="H15" s="613">
        <f>$G15*H9</f>
        <v>64514.635755275987</v>
      </c>
      <c r="I15" s="613">
        <f>$G15*I9</f>
        <v>66127.501649157886</v>
      </c>
      <c r="J15" s="613">
        <f t="shared" ref="J15:AI15" si="7">$G15*J9</f>
        <v>67780.689190386838</v>
      </c>
      <c r="K15" s="613">
        <f t="shared" si="7"/>
        <v>69475.206420146496</v>
      </c>
      <c r="L15" s="613">
        <f t="shared" si="7"/>
        <v>71212.086580650153</v>
      </c>
      <c r="M15" s="613">
        <f t="shared" si="7"/>
        <v>72992.388745166405</v>
      </c>
      <c r="N15" s="613">
        <f t="shared" si="7"/>
        <v>74817.198463795547</v>
      </c>
      <c r="O15" s="613">
        <f t="shared" si="7"/>
        <v>76687.62842539043</v>
      </c>
      <c r="P15" s="613">
        <f t="shared" si="7"/>
        <v>78604.81913602518</v>
      </c>
      <c r="Q15" s="613">
        <f t="shared" si="7"/>
        <v>80569.939614425792</v>
      </c>
      <c r="R15" s="613">
        <f t="shared" si="7"/>
        <v>82584.188104786444</v>
      </c>
      <c r="S15" s="613">
        <f t="shared" si="7"/>
        <v>84648.792807406091</v>
      </c>
      <c r="T15" s="613">
        <f t="shared" si="7"/>
        <v>86765.012627591248</v>
      </c>
      <c r="U15" s="613">
        <f t="shared" si="7"/>
        <v>88934.137943281021</v>
      </c>
      <c r="V15" s="613">
        <f t="shared" si="7"/>
        <v>91157.491391863034</v>
      </c>
      <c r="W15" s="613">
        <f t="shared" si="7"/>
        <v>93436.428676659591</v>
      </c>
      <c r="X15" s="613">
        <f t="shared" si="7"/>
        <v>95772.339393576069</v>
      </c>
      <c r="Y15" s="613">
        <f t="shared" si="7"/>
        <v>98166.647878415475</v>
      </c>
      <c r="Z15" s="613">
        <f t="shared" si="7"/>
        <v>100620.81407537585</v>
      </c>
      <c r="AA15" s="613">
        <f t="shared" si="7"/>
        <v>103136.33442726023</v>
      </c>
      <c r="AB15" s="613">
        <f t="shared" si="7"/>
        <v>105714.74278794172</v>
      </c>
      <c r="AC15" s="613">
        <f t="shared" si="7"/>
        <v>108357.61135764026</v>
      </c>
      <c r="AD15" s="613">
        <f t="shared" si="7"/>
        <v>111066.55164158126</v>
      </c>
      <c r="AE15" s="613">
        <f t="shared" si="7"/>
        <v>113843.21543262078</v>
      </c>
      <c r="AF15" s="613">
        <f t="shared" si="7"/>
        <v>116689.29581843628</v>
      </c>
      <c r="AG15" s="613">
        <f t="shared" si="7"/>
        <v>119606.52821389718</v>
      </c>
      <c r="AH15" s="613">
        <f t="shared" si="7"/>
        <v>122596.6914192446</v>
      </c>
      <c r="AI15" s="613">
        <f t="shared" si="7"/>
        <v>125661.6087047257</v>
      </c>
      <c r="AJ15" s="624">
        <f>G15/$G$13</f>
        <v>4.495059260251838E-2</v>
      </c>
      <c r="AK15" s="614">
        <f>H15/H13</f>
        <v>4.7254328983788459E-2</v>
      </c>
      <c r="AL15" s="614">
        <f t="shared" ref="AL15:AL16" si="8">N15/$N$13</f>
        <v>4.7397345491391449E-2</v>
      </c>
      <c r="AM15" s="614">
        <f t="shared" ref="AM15:AM16" si="9">S15/$S$13</f>
        <v>4.9193173655563568E-2</v>
      </c>
      <c r="AN15" s="615">
        <f t="shared" ref="AN15:AN16" si="10">X15/$X$13</f>
        <v>5.102910955391509E-2</v>
      </c>
      <c r="AO15" s="615">
        <f>AC15/AC13</f>
        <v>5.2905142018030447E-2</v>
      </c>
      <c r="AP15" s="616">
        <f>AI15/AI13</f>
        <v>5.5209299957803527E-2</v>
      </c>
    </row>
    <row r="16" spans="1:49" x14ac:dyDescent="0.25">
      <c r="B16" s="548" t="s">
        <v>285</v>
      </c>
      <c r="C16" s="548" t="s">
        <v>286</v>
      </c>
      <c r="D16" s="548"/>
      <c r="E16" s="548"/>
      <c r="F16" s="548"/>
      <c r="G16" s="613">
        <f>847284.146879798/2</f>
        <v>423642.07343989902</v>
      </c>
      <c r="H16" s="613">
        <f>$G16*H8</f>
        <v>427878.49417429802</v>
      </c>
      <c r="I16" s="613">
        <f>$G16*I8</f>
        <v>432157.27911604097</v>
      </c>
      <c r="J16" s="613">
        <f t="shared" ref="J16:AI16" si="11">$G16*J8</f>
        <v>436478.85190720134</v>
      </c>
      <c r="K16" s="613">
        <f t="shared" si="11"/>
        <v>440843.6404262734</v>
      </c>
      <c r="L16" s="613">
        <f t="shared" si="11"/>
        <v>445252.07683053613</v>
      </c>
      <c r="M16" s="613">
        <f t="shared" si="11"/>
        <v>449704.59759884147</v>
      </c>
      <c r="N16" s="613">
        <f t="shared" si="11"/>
        <v>454201.64357482985</v>
      </c>
      <c r="O16" s="613">
        <f t="shared" si="11"/>
        <v>458743.66001057817</v>
      </c>
      <c r="P16" s="613">
        <f t="shared" si="11"/>
        <v>463331.09661068401</v>
      </c>
      <c r="Q16" s="613">
        <f t="shared" si="11"/>
        <v>467964.40757679084</v>
      </c>
      <c r="R16" s="613">
        <f t="shared" si="11"/>
        <v>472644.05165255873</v>
      </c>
      <c r="S16" s="613">
        <f t="shared" si="11"/>
        <v>477370.49216908438</v>
      </c>
      <c r="T16" s="613">
        <f t="shared" si="11"/>
        <v>482144.19709077524</v>
      </c>
      <c r="U16" s="613">
        <f t="shared" si="11"/>
        <v>486965.63906168292</v>
      </c>
      <c r="V16" s="613">
        <f t="shared" si="11"/>
        <v>491835.29545229982</v>
      </c>
      <c r="W16" s="613">
        <f t="shared" si="11"/>
        <v>496753.64840682276</v>
      </c>
      <c r="X16" s="613">
        <f t="shared" si="11"/>
        <v>501721.18489089102</v>
      </c>
      <c r="Y16" s="613">
        <f t="shared" si="11"/>
        <v>506738.39673979994</v>
      </c>
      <c r="Z16" s="613">
        <f t="shared" si="11"/>
        <v>511805.78070719796</v>
      </c>
      <c r="AA16" s="613">
        <f t="shared" si="11"/>
        <v>516923.83851426997</v>
      </c>
      <c r="AB16" s="613">
        <f t="shared" si="11"/>
        <v>522093.07689941273</v>
      </c>
      <c r="AC16" s="613">
        <f t="shared" si="11"/>
        <v>527314.00766840682</v>
      </c>
      <c r="AD16" s="613">
        <f t="shared" si="11"/>
        <v>532587.147745091</v>
      </c>
      <c r="AE16" s="613">
        <f t="shared" si="11"/>
        <v>537913.01922254195</v>
      </c>
      <c r="AF16" s="613">
        <f t="shared" si="11"/>
        <v>543292.14941476728</v>
      </c>
      <c r="AG16" s="613">
        <f t="shared" si="11"/>
        <v>548725.0709089149</v>
      </c>
      <c r="AH16" s="613">
        <f t="shared" si="11"/>
        <v>554212.32161800412</v>
      </c>
      <c r="AI16" s="613">
        <f t="shared" si="11"/>
        <v>559754.44483418413</v>
      </c>
      <c r="AJ16" s="624">
        <f>G16/$G$13</f>
        <v>0.30255206559387399</v>
      </c>
      <c r="AK16" s="614">
        <f>H16/H13</f>
        <v>0.31340347646846595</v>
      </c>
      <c r="AL16" s="614">
        <f t="shared" si="8"/>
        <v>0.28774068884297432</v>
      </c>
      <c r="AM16" s="614">
        <f t="shared" si="9"/>
        <v>0.27742119811141608</v>
      </c>
      <c r="AN16" s="615">
        <f t="shared" si="10"/>
        <v>0.26732546653271627</v>
      </c>
      <c r="AO16" s="615">
        <f>AC16/AC13</f>
        <v>0.25745881728341374</v>
      </c>
      <c r="AP16" s="616">
        <f>AI16/AI13</f>
        <v>0.24592754593951077</v>
      </c>
    </row>
    <row r="17" spans="2:42" x14ac:dyDescent="0.25">
      <c r="B17" s="548"/>
      <c r="C17" s="548"/>
      <c r="D17" s="548"/>
      <c r="E17" s="548"/>
      <c r="F17" s="548"/>
      <c r="G17" s="548"/>
      <c r="H17" s="548"/>
      <c r="I17" s="548"/>
      <c r="J17" s="548"/>
      <c r="K17" s="548"/>
      <c r="L17" s="548"/>
      <c r="M17" s="548"/>
      <c r="N17" s="548"/>
      <c r="O17" s="548"/>
      <c r="P17" s="548"/>
      <c r="Q17" s="548"/>
      <c r="R17" s="548"/>
      <c r="S17" s="548"/>
      <c r="T17" s="548"/>
      <c r="U17" s="548"/>
      <c r="V17" s="548"/>
      <c r="W17" s="548"/>
      <c r="X17" s="548"/>
      <c r="Y17" s="548"/>
      <c r="Z17" s="548"/>
      <c r="AA17" s="548"/>
      <c r="AB17" s="548"/>
      <c r="AC17" s="548"/>
      <c r="AD17" s="548"/>
      <c r="AE17" s="548"/>
      <c r="AF17" s="548"/>
      <c r="AG17" s="548"/>
      <c r="AH17" s="548"/>
      <c r="AI17" s="548"/>
    </row>
    <row r="18" spans="2:42" x14ac:dyDescent="0.25">
      <c r="B18" s="634" t="s">
        <v>287</v>
      </c>
      <c r="C18" s="548" t="s">
        <v>288</v>
      </c>
      <c r="D18" s="548"/>
      <c r="E18" s="548"/>
      <c r="F18" s="548"/>
      <c r="G18" s="617">
        <v>0.23571355159332807</v>
      </c>
      <c r="H18" s="618">
        <f t="shared" ref="H18:AI18" si="12">SUM(H19:H21)</f>
        <v>0.280165137298161</v>
      </c>
      <c r="I18" s="618">
        <f t="shared" si="12"/>
        <v>0.27184255895328702</v>
      </c>
      <c r="J18" s="618">
        <f t="shared" si="12"/>
        <v>0.27593186210844173</v>
      </c>
      <c r="K18" s="618">
        <f t="shared" si="12"/>
        <v>0.27757539144880328</v>
      </c>
      <c r="L18" s="618">
        <f t="shared" si="12"/>
        <v>0.2898682876577966</v>
      </c>
      <c r="M18" s="618">
        <f t="shared" si="12"/>
        <v>0.2951377322638199</v>
      </c>
      <c r="N18" s="618">
        <f t="shared" si="12"/>
        <v>0.30051237394214791</v>
      </c>
      <c r="O18" s="618">
        <f t="shared" si="12"/>
        <v>0.30599444190082009</v>
      </c>
      <c r="P18" s="618">
        <f t="shared" si="12"/>
        <v>0.31158621436432221</v>
      </c>
      <c r="Q18" s="618">
        <f t="shared" si="12"/>
        <v>0.31729001967772896</v>
      </c>
      <c r="R18" s="618">
        <f t="shared" si="12"/>
        <v>0.32310823743615413</v>
      </c>
      <c r="S18" s="618">
        <f t="shared" si="12"/>
        <v>0.32904329964009793</v>
      </c>
      <c r="T18" s="618">
        <f t="shared" si="12"/>
        <v>0.33509769187729177</v>
      </c>
      <c r="U18" s="618">
        <f t="shared" si="12"/>
        <v>0.34127395453165776</v>
      </c>
      <c r="V18" s="618">
        <f t="shared" si="12"/>
        <v>0.34757468402001335</v>
      </c>
      <c r="W18" s="618">
        <f t="shared" si="12"/>
        <v>0.35400253405716559</v>
      </c>
      <c r="X18" s="618">
        <f t="shared" si="12"/>
        <v>0.36056021695005713</v>
      </c>
      <c r="Y18" s="618">
        <f t="shared" si="12"/>
        <v>0.36725050492163835</v>
      </c>
      <c r="Z18" s="618">
        <f t="shared" si="12"/>
        <v>0.37407623146515917</v>
      </c>
      <c r="AA18" s="618">
        <f t="shared" si="12"/>
        <v>0.38104029272958811</v>
      </c>
      <c r="AB18" s="618">
        <f t="shared" si="12"/>
        <v>0.38814564893688347</v>
      </c>
      <c r="AC18" s="618">
        <f t="shared" si="12"/>
        <v>0.39539532583185882</v>
      </c>
      <c r="AD18" s="618">
        <f t="shared" si="12"/>
        <v>0.4027924161654034</v>
      </c>
      <c r="AE18" s="618">
        <f t="shared" si="12"/>
        <v>0.41034008121183291</v>
      </c>
      <c r="AF18" s="618">
        <f t="shared" si="12"/>
        <v>0.4180415523211683</v>
      </c>
      <c r="AG18" s="618">
        <f t="shared" si="12"/>
        <v>0.42590013250715625</v>
      </c>
      <c r="AH18" s="618">
        <f t="shared" si="12"/>
        <v>0.43391919807186469</v>
      </c>
      <c r="AI18" s="618">
        <f t="shared" si="12"/>
        <v>0.4421022002677083</v>
      </c>
    </row>
    <row r="19" spans="2:42" x14ac:dyDescent="0.25">
      <c r="B19" s="548" t="s">
        <v>289</v>
      </c>
      <c r="C19" s="548" t="s">
        <v>288</v>
      </c>
      <c r="D19" s="548"/>
      <c r="E19" s="548"/>
      <c r="F19" s="548"/>
      <c r="G19" s="617">
        <v>0.12257104682853061</v>
      </c>
      <c r="H19" s="617">
        <f>G19*H7</f>
        <v>0.12502246776510123</v>
      </c>
      <c r="I19" s="619">
        <f>$G19*I7</f>
        <v>0.12752291712040326</v>
      </c>
      <c r="J19" s="619">
        <f t="shared" ref="J19:AH19" si="13">$G19*J7</f>
        <v>0.13007337546281131</v>
      </c>
      <c r="K19" s="619">
        <f t="shared" si="13"/>
        <v>0.13267484297206752</v>
      </c>
      <c r="L19" s="619">
        <f t="shared" si="13"/>
        <v>0.13532833983150888</v>
      </c>
      <c r="M19" s="619">
        <f t="shared" si="13"/>
        <v>0.13803490662813908</v>
      </c>
      <c r="N19" s="617">
        <f t="shared" si="13"/>
        <v>0.14079560476070185</v>
      </c>
      <c r="O19" s="619">
        <f t="shared" si="13"/>
        <v>0.14361151685591589</v>
      </c>
      <c r="P19" s="619">
        <f t="shared" si="13"/>
        <v>0.14648374719303422</v>
      </c>
      <c r="Q19" s="619">
        <f t="shared" si="13"/>
        <v>0.1494134221368949</v>
      </c>
      <c r="R19" s="619">
        <f t="shared" si="13"/>
        <v>0.15240169057963279</v>
      </c>
      <c r="S19" s="617">
        <f t="shared" si="13"/>
        <v>0.15544972439122545</v>
      </c>
      <c r="T19" s="617">
        <f t="shared" si="13"/>
        <v>0.15855871887904996</v>
      </c>
      <c r="U19" s="617">
        <f t="shared" si="13"/>
        <v>0.16172989325663098</v>
      </c>
      <c r="V19" s="617">
        <f t="shared" si="13"/>
        <v>0.16496449112176359</v>
      </c>
      <c r="W19" s="617">
        <f t="shared" si="13"/>
        <v>0.16826378094419886</v>
      </c>
      <c r="X19" s="617">
        <f t="shared" si="13"/>
        <v>0.17162905656308286</v>
      </c>
      <c r="Y19" s="617">
        <f t="shared" si="13"/>
        <v>0.17506163769434452</v>
      </c>
      <c r="Z19" s="617">
        <f t="shared" si="13"/>
        <v>0.17856287044823141</v>
      </c>
      <c r="AA19" s="617">
        <f t="shared" si="13"/>
        <v>0.18213412785719604</v>
      </c>
      <c r="AB19" s="617">
        <f t="shared" si="13"/>
        <v>0.18577681041433999</v>
      </c>
      <c r="AC19" s="617">
        <f t="shared" si="13"/>
        <v>0.18949234662262679</v>
      </c>
      <c r="AD19" s="617">
        <f t="shared" si="13"/>
        <v>0.19328219355507933</v>
      </c>
      <c r="AE19" s="617">
        <f t="shared" si="13"/>
        <v>0.19714783742618092</v>
      </c>
      <c r="AF19" s="617">
        <f t="shared" si="13"/>
        <v>0.20109079417470452</v>
      </c>
      <c r="AG19" s="617">
        <f t="shared" si="13"/>
        <v>0.20511261005819861</v>
      </c>
      <c r="AH19" s="617">
        <f t="shared" si="13"/>
        <v>0.20921486225936259</v>
      </c>
      <c r="AI19" s="617">
        <f>$G19*AI7</f>
        <v>0.21339915950454985</v>
      </c>
    </row>
    <row r="20" spans="2:42" x14ac:dyDescent="0.25">
      <c r="B20" s="548" t="s">
        <v>290</v>
      </c>
      <c r="C20" s="548" t="s">
        <v>288</v>
      </c>
      <c r="D20" s="548"/>
      <c r="E20" s="548"/>
      <c r="F20" s="548"/>
      <c r="G20" s="617">
        <v>5.9953505701281065E-2</v>
      </c>
      <c r="H20" s="617">
        <v>7.0580432898953341E-2</v>
      </c>
      <c r="I20" s="619">
        <v>6.0161653939759877E-2</v>
      </c>
      <c r="J20" s="619">
        <v>6.08589188735753E-2</v>
      </c>
      <c r="K20" s="619">
        <v>5.9050985026960073E-2</v>
      </c>
      <c r="L20" s="619">
        <f t="shared" ref="L20:AI20" si="14">$G20*L9</f>
        <v>6.783188874201429E-2</v>
      </c>
      <c r="M20" s="619">
        <f t="shared" si="14"/>
        <v>6.9527685960564634E-2</v>
      </c>
      <c r="N20" s="617">
        <f t="shared" si="14"/>
        <v>7.126587810957874E-2</v>
      </c>
      <c r="O20" s="619">
        <f t="shared" si="14"/>
        <v>7.3047525062318208E-2</v>
      </c>
      <c r="P20" s="619">
        <f t="shared" si="14"/>
        <v>7.4873713188876145E-2</v>
      </c>
      <c r="Q20" s="619">
        <f t="shared" si="14"/>
        <v>7.6745556018598046E-2</v>
      </c>
      <c r="R20" s="619">
        <f t="shared" si="14"/>
        <v>7.8664194919062985E-2</v>
      </c>
      <c r="S20" s="617">
        <f t="shared" si="14"/>
        <v>8.0630799792039562E-2</v>
      </c>
      <c r="T20" s="617">
        <f t="shared" si="14"/>
        <v>8.264656978684054E-2</v>
      </c>
      <c r="U20" s="617">
        <f t="shared" si="14"/>
        <v>8.4712734031511555E-2</v>
      </c>
      <c r="V20" s="617">
        <f t="shared" si="14"/>
        <v>8.6830552382299322E-2</v>
      </c>
      <c r="W20" s="617">
        <f t="shared" si="14"/>
        <v>8.9001316191856805E-2</v>
      </c>
      <c r="X20" s="617">
        <f t="shared" si="14"/>
        <v>9.1226349096653211E-2</v>
      </c>
      <c r="Y20" s="617">
        <f t="shared" si="14"/>
        <v>9.3507007824069538E-2</v>
      </c>
      <c r="Z20" s="617">
        <f t="shared" si="14"/>
        <v>9.5844683019671265E-2</v>
      </c>
      <c r="AA20" s="617">
        <f t="shared" si="14"/>
        <v>9.8240800095163033E-2</v>
      </c>
      <c r="AB20" s="617">
        <f t="shared" si="14"/>
        <v>0.10069682009754211</v>
      </c>
      <c r="AC20" s="617">
        <f t="shared" si="14"/>
        <v>0.10321424059998063</v>
      </c>
      <c r="AD20" s="617">
        <f t="shared" si="14"/>
        <v>0.10579459661498015</v>
      </c>
      <c r="AE20" s="617">
        <f t="shared" si="14"/>
        <v>0.10843946153035465</v>
      </c>
      <c r="AF20" s="617">
        <f t="shared" si="14"/>
        <v>0.1111504480686135</v>
      </c>
      <c r="AG20" s="617">
        <f t="shared" si="14"/>
        <v>0.11392920927032883</v>
      </c>
      <c r="AH20" s="617">
        <f t="shared" si="14"/>
        <v>0.11677743950208704</v>
      </c>
      <c r="AI20" s="617">
        <f t="shared" si="14"/>
        <v>0.11969687548963921</v>
      </c>
    </row>
    <row r="21" spans="2:42" x14ac:dyDescent="0.25">
      <c r="B21" s="548" t="s">
        <v>291</v>
      </c>
      <c r="C21" s="548" t="s">
        <v>288</v>
      </c>
      <c r="D21" s="548"/>
      <c r="E21" s="548"/>
      <c r="F21" s="548"/>
      <c r="G21" s="617">
        <v>8.2499743057664818E-2</v>
      </c>
      <c r="H21" s="617">
        <f>G21*H9</f>
        <v>8.4562236634106433E-2</v>
      </c>
      <c r="I21" s="619">
        <f>$G21*I8</f>
        <v>8.4157987893123884E-2</v>
      </c>
      <c r="J21" s="619">
        <f t="shared" ref="J21:AI21" si="15">$G21*J8</f>
        <v>8.4999567772055112E-2</v>
      </c>
      <c r="K21" s="619">
        <f t="shared" si="15"/>
        <v>8.5849563449775679E-2</v>
      </c>
      <c r="L21" s="619">
        <f t="shared" si="15"/>
        <v>8.6708059084273426E-2</v>
      </c>
      <c r="M21" s="619">
        <f t="shared" si="15"/>
        <v>8.7575139675116154E-2</v>
      </c>
      <c r="N21" s="617">
        <f t="shared" si="15"/>
        <v>8.8450891071867307E-2</v>
      </c>
      <c r="O21" s="619">
        <f t="shared" si="15"/>
        <v>8.9335399982585995E-2</v>
      </c>
      <c r="P21" s="619">
        <f t="shared" si="15"/>
        <v>9.0228753982411855E-2</v>
      </c>
      <c r="Q21" s="619">
        <f t="shared" si="15"/>
        <v>9.1131041522235973E-2</v>
      </c>
      <c r="R21" s="619">
        <f t="shared" si="15"/>
        <v>9.2042351937458342E-2</v>
      </c>
      <c r="S21" s="617">
        <f t="shared" si="15"/>
        <v>9.2962775456832916E-2</v>
      </c>
      <c r="T21" s="617">
        <f t="shared" si="15"/>
        <v>9.3892403211401257E-2</v>
      </c>
      <c r="U21" s="617">
        <f t="shared" si="15"/>
        <v>9.4831327243515257E-2</v>
      </c>
      <c r="V21" s="617">
        <f t="shared" si="15"/>
        <v>9.577964051595042E-2</v>
      </c>
      <c r="W21" s="617">
        <f t="shared" si="15"/>
        <v>9.6737436921109921E-2</v>
      </c>
      <c r="X21" s="617">
        <f t="shared" si="15"/>
        <v>9.770481129032102E-2</v>
      </c>
      <c r="Y21" s="617">
        <f t="shared" si="15"/>
        <v>9.8681859403224242E-2</v>
      </c>
      <c r="Z21" s="617">
        <f t="shared" si="15"/>
        <v>9.9668677997256483E-2</v>
      </c>
      <c r="AA21" s="617">
        <f t="shared" si="15"/>
        <v>0.10066536477722905</v>
      </c>
      <c r="AB21" s="617">
        <f t="shared" si="15"/>
        <v>0.10167201842500134</v>
      </c>
      <c r="AC21" s="617">
        <f t="shared" si="15"/>
        <v>0.10268873860925137</v>
      </c>
      <c r="AD21" s="617">
        <f t="shared" si="15"/>
        <v>0.10371562599534388</v>
      </c>
      <c r="AE21" s="617">
        <f t="shared" si="15"/>
        <v>0.10475278225529733</v>
      </c>
      <c r="AF21" s="617">
        <f t="shared" si="15"/>
        <v>0.10580031007785029</v>
      </c>
      <c r="AG21" s="617">
        <f t="shared" si="15"/>
        <v>0.1068583131786288</v>
      </c>
      <c r="AH21" s="617">
        <f t="shared" si="15"/>
        <v>0.10792689631041509</v>
      </c>
      <c r="AI21" s="617">
        <f t="shared" si="15"/>
        <v>0.10900616527351924</v>
      </c>
    </row>
    <row r="22" spans="2:42" x14ac:dyDescent="0.25">
      <c r="B22" s="548"/>
      <c r="C22" s="548"/>
      <c r="D22" s="548"/>
      <c r="E22" s="548"/>
      <c r="F22" s="548"/>
      <c r="G22" s="620">
        <f>G23/G28</f>
        <v>0.57593277143086397</v>
      </c>
      <c r="H22" s="620">
        <f t="shared" ref="H22" si="16">H23/H28</f>
        <v>0.61246582901742463</v>
      </c>
      <c r="I22" s="620">
        <f t="shared" ref="I22" si="17">I23/I28</f>
        <v>0.56082017597169997</v>
      </c>
      <c r="J22" s="620">
        <f t="shared" ref="J22" si="18">J23/J28</f>
        <v>0.58700680384841886</v>
      </c>
      <c r="K22" s="620">
        <f t="shared" ref="K22" si="19">K23/K28</f>
        <v>0.59935910983638996</v>
      </c>
      <c r="L22" s="620">
        <f t="shared" ref="L22" si="20">L23/L28</f>
        <v>0.64150295253532008</v>
      </c>
      <c r="M22" s="620">
        <f t="shared" ref="M22" si="21">M23/M28</f>
        <v>0.65039605786280774</v>
      </c>
      <c r="N22" s="620">
        <f t="shared" ref="N22" si="22">N23/N28</f>
        <v>0.56179489390033066</v>
      </c>
      <c r="O22" s="620">
        <f t="shared" ref="O22" si="23">O23/O28</f>
        <v>0.55939681955159049</v>
      </c>
      <c r="P22" s="620">
        <f t="shared" ref="P22" si="24">P23/P28</f>
        <v>0.56945479748435124</v>
      </c>
      <c r="Q22" s="620">
        <f t="shared" ref="Q22" si="25">Q23/Q28</f>
        <v>0.69050741235305657</v>
      </c>
      <c r="R22" s="620">
        <f t="shared" ref="R22" si="26">R23/R28</f>
        <v>0.69050404474345817</v>
      </c>
      <c r="S22" s="620">
        <f t="shared" ref="S22" si="27">S23/S28</f>
        <v>0.69049594437544093</v>
      </c>
      <c r="T22" s="620">
        <f t="shared" ref="T22" si="28">T23/T28</f>
        <v>0.69048317725851271</v>
      </c>
      <c r="U22" s="620">
        <f t="shared" ref="U22" si="29">U23/U28</f>
        <v>0.6904658087655744</v>
      </c>
      <c r="V22" s="620">
        <f t="shared" ref="V22" si="30">V23/V28</f>
        <v>0.6904439036348714</v>
      </c>
      <c r="W22" s="620">
        <f t="shared" ref="W22" si="31">W23/W28</f>
        <v>0.69041752597201511</v>
      </c>
      <c r="X22" s="620">
        <f t="shared" ref="X22" si="32">X23/X28</f>
        <v>0.69053357226813061</v>
      </c>
      <c r="Y22" s="620">
        <f t="shared" ref="Y22" si="33">Y23/Y28</f>
        <v>0.69011597922817547</v>
      </c>
      <c r="Z22" s="620">
        <f t="shared" ref="Z22" si="34">Z23/Z28</f>
        <v>0.68969747176782814</v>
      </c>
      <c r="AA22" s="620">
        <f t="shared" ref="AA22" si="35">AA23/AA28</f>
        <v>0.68927808664500501</v>
      </c>
      <c r="AB22" s="620">
        <f t="shared" ref="AB22" si="36">AB23/AB28</f>
        <v>0.68885786037710883</v>
      </c>
      <c r="AC22" s="620">
        <f t="shared" ref="AC22" si="37">AC23/AC28</f>
        <v>0.6884368292356241</v>
      </c>
      <c r="AD22" s="620">
        <f t="shared" ref="AD22" si="38">AD23/AD28</f>
        <v>0.68801502924089075</v>
      </c>
      <c r="AE22" s="620">
        <f t="shared" ref="AE22" si="39">AE23/AE28</f>
        <v>0.68759249615705287</v>
      </c>
      <c r="AF22" s="620">
        <f t="shared" ref="AF22" si="40">AF23/AF28</f>
        <v>0.68716926548718449</v>
      </c>
      <c r="AG22" s="620">
        <f t="shared" ref="AG22" si="41">AG23/AG28</f>
        <v>0.68674537246859035</v>
      </c>
      <c r="AH22" s="620">
        <f t="shared" ref="AH22" si="42">AH23/AH28</f>
        <v>0.6866585185500429</v>
      </c>
      <c r="AI22" s="620">
        <f t="shared" ref="AI22" si="43">AI23/AI28</f>
        <v>0.68657243819047764</v>
      </c>
    </row>
    <row r="23" spans="2:42" x14ac:dyDescent="0.25">
      <c r="B23" s="656" t="s">
        <v>509</v>
      </c>
      <c r="C23" s="548" t="s">
        <v>286</v>
      </c>
      <c r="D23" s="548"/>
      <c r="E23" s="548"/>
      <c r="F23" s="548"/>
      <c r="G23" s="621">
        <f>SUM(G24:G26)</f>
        <v>1901673.8822590699</v>
      </c>
      <c r="H23" s="621">
        <f t="shared" ref="H23:AI23" si="44">SUM(H24:H26)</f>
        <v>2157687.32225959</v>
      </c>
      <c r="I23" s="621">
        <f t="shared" si="44"/>
        <v>1904726.05388197</v>
      </c>
      <c r="J23" s="621">
        <f t="shared" si="44"/>
        <v>2197697.6702915169</v>
      </c>
      <c r="K23" s="621">
        <f t="shared" si="44"/>
        <v>2346463.3086088831</v>
      </c>
      <c r="L23" s="621">
        <f t="shared" si="44"/>
        <v>2729232.9918385898</v>
      </c>
      <c r="M23" s="621">
        <f t="shared" si="44"/>
        <v>2886584.0129663995</v>
      </c>
      <c r="N23" s="621">
        <f t="shared" si="44"/>
        <v>3050200.8757512802</v>
      </c>
      <c r="O23" s="621">
        <f t="shared" si="44"/>
        <v>3217748.9216917371</v>
      </c>
      <c r="P23" s="621">
        <f t="shared" si="44"/>
        <v>3389046.0667440039</v>
      </c>
      <c r="Q23" s="621">
        <f t="shared" si="44"/>
        <v>4030850.0940378886</v>
      </c>
      <c r="R23" s="621">
        <f t="shared" si="44"/>
        <v>4095416.9650008241</v>
      </c>
      <c r="S23" s="621">
        <f t="shared" si="44"/>
        <v>4161100.3017087067</v>
      </c>
      <c r="T23" s="621">
        <f t="shared" si="44"/>
        <v>4227920.641752651</v>
      </c>
      <c r="U23" s="621">
        <f t="shared" si="44"/>
        <v>4295898.9128975887</v>
      </c>
      <c r="V23" s="621">
        <f t="shared" si="44"/>
        <v>4365056.4406558163</v>
      </c>
      <c r="W23" s="621">
        <f t="shared" si="44"/>
        <v>4435414.9560105456</v>
      </c>
      <c r="X23" s="621">
        <f t="shared" si="44"/>
        <v>4510094.0580213787</v>
      </c>
      <c r="Y23" s="621">
        <f t="shared" si="44"/>
        <v>4574779.6066251388</v>
      </c>
      <c r="Z23" s="621">
        <f t="shared" si="44"/>
        <v>4640564.3760891706</v>
      </c>
      <c r="AA23" s="621">
        <f t="shared" si="44"/>
        <v>4707468.4788968526</v>
      </c>
      <c r="AB23" s="621">
        <f t="shared" si="44"/>
        <v>4775512.4128009714</v>
      </c>
      <c r="AC23" s="622">
        <f t="shared" si="44"/>
        <v>4844717.0684432499</v>
      </c>
      <c r="AD23" s="621">
        <f t="shared" si="44"/>
        <v>4915103.7371285558</v>
      </c>
      <c r="AE23" s="621">
        <f t="shared" si="44"/>
        <v>4986694.1187569015</v>
      </c>
      <c r="AF23" s="621">
        <f t="shared" si="44"/>
        <v>5059510.3299166095</v>
      </c>
      <c r="AG23" s="621">
        <f t="shared" si="44"/>
        <v>5133574.9121419284</v>
      </c>
      <c r="AH23" s="621">
        <f t="shared" si="44"/>
        <v>5217089.6441406915</v>
      </c>
      <c r="AI23" s="621">
        <f t="shared" si="44"/>
        <v>5302179.1004406018</v>
      </c>
    </row>
    <row r="24" spans="2:42" x14ac:dyDescent="0.25">
      <c r="B24" s="548" t="s">
        <v>289</v>
      </c>
      <c r="C24" s="548" t="s">
        <v>286</v>
      </c>
      <c r="D24" s="548"/>
      <c r="E24" s="548"/>
      <c r="F24" s="548"/>
      <c r="G24" s="623">
        <f>G19*G$29</f>
        <v>879504.86938671651</v>
      </c>
      <c r="H24" s="623">
        <f>H19*H$29</f>
        <v>962858.53513344284</v>
      </c>
      <c r="I24" s="623">
        <f>I19*I$29</f>
        <v>893518.01146045746</v>
      </c>
      <c r="J24" s="623">
        <f t="shared" ref="J24:AH26" si="45">J19*J$29</f>
        <v>1035987.47907275</v>
      </c>
      <c r="K24" s="623">
        <f t="shared" si="45"/>
        <v>1121557.0998008358</v>
      </c>
      <c r="L24" s="623">
        <f t="shared" si="45"/>
        <v>1274173.773141148</v>
      </c>
      <c r="M24" s="623">
        <f t="shared" si="45"/>
        <v>1350045.4572441017</v>
      </c>
      <c r="N24" s="623">
        <f t="shared" si="45"/>
        <v>1429075.5196180339</v>
      </c>
      <c r="O24" s="623">
        <f t="shared" si="45"/>
        <v>1510177.1150974608</v>
      </c>
      <c r="P24" s="623">
        <f t="shared" si="45"/>
        <v>1593267.4309076234</v>
      </c>
      <c r="Q24" s="623">
        <f t="shared" si="45"/>
        <v>1898147.0242358821</v>
      </c>
      <c r="R24" s="623">
        <f t="shared" si="45"/>
        <v>1931700.8877496214</v>
      </c>
      <c r="S24" s="623">
        <f t="shared" si="45"/>
        <v>1965826.0653609065</v>
      </c>
      <c r="T24" s="623">
        <f t="shared" si="45"/>
        <v>2000532.0738648146</v>
      </c>
      <c r="U24" s="623">
        <f t="shared" si="45"/>
        <v>2035828.586971041</v>
      </c>
      <c r="V24" s="623">
        <f t="shared" si="45"/>
        <v>2071725.4378892025</v>
      </c>
      <c r="W24" s="623">
        <f t="shared" si="45"/>
        <v>2108232.6219570609</v>
      </c>
      <c r="X24" s="623">
        <f t="shared" si="45"/>
        <v>2146834.7083233376</v>
      </c>
      <c r="Y24" s="623">
        <f t="shared" si="45"/>
        <v>2180714.2516995873</v>
      </c>
      <c r="Z24" s="623">
        <f t="shared" si="45"/>
        <v>2215143.4007147443</v>
      </c>
      <c r="AA24" s="623">
        <f t="shared" si="45"/>
        <v>2250131.2385553457</v>
      </c>
      <c r="AB24" s="623">
        <f t="shared" si="45"/>
        <v>2285687.0006766925</v>
      </c>
      <c r="AC24" s="623">
        <f t="shared" si="45"/>
        <v>2321820.0773885688</v>
      </c>
      <c r="AD24" s="623">
        <f t="shared" si="45"/>
        <v>2358540.0164854759</v>
      </c>
      <c r="AE24" s="623">
        <f t="shared" si="45"/>
        <v>2395856.5259221094</v>
      </c>
      <c r="AF24" s="623">
        <f t="shared" si="45"/>
        <v>2433779.4765349054</v>
      </c>
      <c r="AG24" s="623">
        <f t="shared" si="45"/>
        <v>2472318.904810451</v>
      </c>
      <c r="AH24" s="623">
        <f t="shared" si="45"/>
        <v>2515428.4395429567</v>
      </c>
      <c r="AI24" s="623">
        <f>AI19*AI$29</f>
        <v>2559319.0056314212</v>
      </c>
      <c r="AJ24" s="624">
        <f>G24/$G$23</f>
        <v>0.46248985043740498</v>
      </c>
      <c r="AK24" s="614">
        <f>H24/$H$23</f>
        <v>0.44624562845607801</v>
      </c>
      <c r="AL24" s="614">
        <f>N24/$N$23</f>
        <v>0.46851849364381459</v>
      </c>
      <c r="AM24" s="614">
        <f>S24/$S$23</f>
        <v>0.47242938713918126</v>
      </c>
      <c r="AN24" s="614">
        <f>X24/$X$23</f>
        <v>0.47600663771193596</v>
      </c>
      <c r="AO24" s="614">
        <f>AC24/$AC$23</f>
        <v>0.47924781666035204</v>
      </c>
      <c r="AP24" s="614">
        <f>AI24/$AI$23</f>
        <v>0.48269191914297016</v>
      </c>
    </row>
    <row r="25" spans="2:42" x14ac:dyDescent="0.25">
      <c r="B25" s="548" t="s">
        <v>290</v>
      </c>
      <c r="C25" s="548" t="s">
        <v>286</v>
      </c>
      <c r="D25" s="548"/>
      <c r="E25" s="548"/>
      <c r="F25" s="548"/>
      <c r="G25" s="623">
        <f t="shared" ref="G25" si="46">G20*G$29</f>
        <v>430194.58155437122</v>
      </c>
      <c r="H25" s="623">
        <f t="shared" ref="H25:V26" si="47">H20*H$29</f>
        <v>543574.07468436274</v>
      </c>
      <c r="I25" s="623">
        <f t="shared" si="47"/>
        <v>421536.164701064</v>
      </c>
      <c r="J25" s="623">
        <f t="shared" si="47"/>
        <v>484719.31875831389</v>
      </c>
      <c r="K25" s="623">
        <f t="shared" si="47"/>
        <v>499183.19120350003</v>
      </c>
      <c r="L25" s="623">
        <f t="shared" si="47"/>
        <v>638666.03052481438</v>
      </c>
      <c r="M25" s="623">
        <f t="shared" si="47"/>
        <v>680013.04073487048</v>
      </c>
      <c r="N25" s="623">
        <f t="shared" si="47"/>
        <v>723348.7292701907</v>
      </c>
      <c r="O25" s="623">
        <f t="shared" si="47"/>
        <v>768146.61580588203</v>
      </c>
      <c r="P25" s="623">
        <f t="shared" si="47"/>
        <v>814382.83045661834</v>
      </c>
      <c r="Q25" s="623">
        <f t="shared" si="47"/>
        <v>974974.98348281556</v>
      </c>
      <c r="R25" s="623">
        <f t="shared" si="47"/>
        <v>997073.55332691316</v>
      </c>
      <c r="S25" s="623">
        <f t="shared" si="47"/>
        <v>1019661.684977778</v>
      </c>
      <c r="T25" s="623">
        <f t="shared" si="47"/>
        <v>1042750.0601818176</v>
      </c>
      <c r="U25" s="623">
        <f t="shared" si="47"/>
        <v>1066349.5915882876</v>
      </c>
      <c r="V25" s="623">
        <f t="shared" si="47"/>
        <v>1090471.4277183488</v>
      </c>
      <c r="W25" s="623">
        <f t="shared" si="45"/>
        <v>1115126.9580410358</v>
      </c>
      <c r="X25" s="623">
        <f t="shared" si="45"/>
        <v>1141111.5138439969</v>
      </c>
      <c r="Y25" s="623">
        <f t="shared" si="45"/>
        <v>1164801.5366551136</v>
      </c>
      <c r="Z25" s="623">
        <f t="shared" si="45"/>
        <v>1188991.3986691523</v>
      </c>
      <c r="AA25" s="623">
        <f t="shared" si="45"/>
        <v>1213691.7764699063</v>
      </c>
      <c r="AB25" s="623">
        <f t="shared" si="45"/>
        <v>1238913.5769588251</v>
      </c>
      <c r="AC25" s="623">
        <f t="shared" si="45"/>
        <v>1264667.9423665651</v>
      </c>
      <c r="AD25" s="623">
        <f t="shared" si="45"/>
        <v>1290966.2553744975</v>
      </c>
      <c r="AE25" s="623">
        <f t="shared" si="45"/>
        <v>1317820.1443485781</v>
      </c>
      <c r="AF25" s="623">
        <f t="shared" si="45"/>
        <v>1345241.4886880927</v>
      </c>
      <c r="AG25" s="623">
        <f t="shared" si="45"/>
        <v>1373242.4242918037</v>
      </c>
      <c r="AH25" s="623">
        <f t="shared" si="45"/>
        <v>1404036.4496495584</v>
      </c>
      <c r="AI25" s="623">
        <f t="shared" ref="AI25:AI26" si="48">AI20*AI$29</f>
        <v>1435537.4644706601</v>
      </c>
      <c r="AJ25" s="624">
        <f t="shared" ref="AJ25:AJ26" si="49">G25/$G$23</f>
        <v>0.22621890407588019</v>
      </c>
      <c r="AK25" s="614">
        <f t="shared" ref="AK25:AK26" si="50">H25/$H$23</f>
        <v>0.25192439566040409</v>
      </c>
      <c r="AL25" s="614">
        <f t="shared" ref="AL25:AL26" si="51">N25/$N$23</f>
        <v>0.23714789901895433</v>
      </c>
      <c r="AM25" s="614">
        <f t="shared" ref="AM25:AM26" si="52">S25/$S$23</f>
        <v>0.24504616833174292</v>
      </c>
      <c r="AN25" s="614">
        <f t="shared" ref="AN25:AN26" si="53">X25/$X$23</f>
        <v>0.25301279733057574</v>
      </c>
      <c r="AO25" s="614">
        <f t="shared" ref="AO25:AO26" si="54">AC25/$AC$23</f>
        <v>0.26104061898767189</v>
      </c>
      <c r="AP25" s="614">
        <f t="shared" ref="AP25:AP26" si="55">AI25/$AI$23</f>
        <v>0.27074480836593567</v>
      </c>
    </row>
    <row r="26" spans="2:42" x14ac:dyDescent="0.25">
      <c r="B26" s="548" t="s">
        <v>291</v>
      </c>
      <c r="C26" s="548" t="s">
        <v>286</v>
      </c>
      <c r="D26" s="548"/>
      <c r="E26" s="548"/>
      <c r="F26" s="548"/>
      <c r="G26" s="623">
        <f t="shared" ref="G26" si="56">G21*G$29</f>
        <v>591974.43131798215</v>
      </c>
      <c r="H26" s="623">
        <f t="shared" si="47"/>
        <v>651254.71244178456</v>
      </c>
      <c r="I26" s="623">
        <f t="shared" si="47"/>
        <v>589671.87772044842</v>
      </c>
      <c r="J26" s="623">
        <f t="shared" si="47"/>
        <v>676990.87246045331</v>
      </c>
      <c r="K26" s="623">
        <f t="shared" si="47"/>
        <v>725723.01760454685</v>
      </c>
      <c r="L26" s="623">
        <f t="shared" si="47"/>
        <v>816393.18817262712</v>
      </c>
      <c r="M26" s="623">
        <f t="shared" si="47"/>
        <v>856525.51498742728</v>
      </c>
      <c r="N26" s="623">
        <f t="shared" si="47"/>
        <v>897776.62686305563</v>
      </c>
      <c r="O26" s="623">
        <f t="shared" si="47"/>
        <v>939425.19078839419</v>
      </c>
      <c r="P26" s="623">
        <f t="shared" si="47"/>
        <v>981395.80537976231</v>
      </c>
      <c r="Q26" s="623">
        <f t="shared" si="47"/>
        <v>1157728.0863191911</v>
      </c>
      <c r="R26" s="623">
        <f t="shared" si="47"/>
        <v>1166642.523924289</v>
      </c>
      <c r="S26" s="623">
        <f t="shared" si="47"/>
        <v>1175612.5513700221</v>
      </c>
      <c r="T26" s="623">
        <f t="shared" si="47"/>
        <v>1184638.5077060191</v>
      </c>
      <c r="U26" s="623">
        <f t="shared" si="47"/>
        <v>1193720.7343382607</v>
      </c>
      <c r="V26" s="623">
        <f t="shared" si="47"/>
        <v>1202859.5750482648</v>
      </c>
      <c r="W26" s="623">
        <f t="shared" si="45"/>
        <v>1212055.3760124494</v>
      </c>
      <c r="X26" s="623">
        <f t="shared" si="45"/>
        <v>1222147.8358540442</v>
      </c>
      <c r="Y26" s="623">
        <f t="shared" si="45"/>
        <v>1229263.8182704381</v>
      </c>
      <c r="Z26" s="623">
        <f t="shared" si="45"/>
        <v>1236429.5767052744</v>
      </c>
      <c r="AA26" s="623">
        <f t="shared" si="45"/>
        <v>1243645.463871601</v>
      </c>
      <c r="AB26" s="623">
        <f t="shared" si="45"/>
        <v>1250911.8351654543</v>
      </c>
      <c r="AC26" s="623">
        <f t="shared" si="45"/>
        <v>1258229.0486881165</v>
      </c>
      <c r="AD26" s="623">
        <f t="shared" si="45"/>
        <v>1265597.4652685819</v>
      </c>
      <c r="AE26" s="623">
        <f t="shared" si="45"/>
        <v>1273017.4484862145</v>
      </c>
      <c r="AF26" s="623">
        <f t="shared" si="45"/>
        <v>1280489.3646936114</v>
      </c>
      <c r="AG26" s="623">
        <f t="shared" si="45"/>
        <v>1288013.5830396735</v>
      </c>
      <c r="AH26" s="623">
        <f t="shared" si="45"/>
        <v>1297624.7549481767</v>
      </c>
      <c r="AI26" s="623">
        <f t="shared" si="48"/>
        <v>1307322.6303385205</v>
      </c>
      <c r="AJ26" s="624">
        <f t="shared" si="49"/>
        <v>0.31129124548671483</v>
      </c>
      <c r="AK26" s="614">
        <f t="shared" si="50"/>
        <v>0.30182997588351801</v>
      </c>
      <c r="AL26" s="614">
        <f t="shared" si="51"/>
        <v>0.29433360733723107</v>
      </c>
      <c r="AM26" s="614">
        <f t="shared" si="52"/>
        <v>0.28252444452907582</v>
      </c>
      <c r="AN26" s="614">
        <f t="shared" si="53"/>
        <v>0.27098056495748829</v>
      </c>
      <c r="AO26" s="614">
        <f t="shared" si="54"/>
        <v>0.25971156435197618</v>
      </c>
      <c r="AP26" s="614">
        <f t="shared" si="55"/>
        <v>0.24656327249109414</v>
      </c>
    </row>
    <row r="27" spans="2:42" x14ac:dyDescent="0.25">
      <c r="B27" s="548" t="s">
        <v>647</v>
      </c>
      <c r="C27" s="548"/>
      <c r="D27" s="548"/>
      <c r="E27" s="548"/>
      <c r="F27" s="548"/>
      <c r="G27" s="548"/>
      <c r="H27" s="625"/>
      <c r="I27" s="625"/>
      <c r="J27" s="625"/>
      <c r="K27" s="625"/>
      <c r="L27" s="625"/>
      <c r="M27" s="625"/>
      <c r="N27" s="625">
        <f>3%*'Investitii-constante'!M37</f>
        <v>800674.00373999972</v>
      </c>
      <c r="O27" s="625">
        <f>3%*'Investitii-constante'!N37</f>
        <v>928514.42555999977</v>
      </c>
      <c r="P27" s="625">
        <f>3%*'Investitii-constante'!O37</f>
        <v>928514.42555999977</v>
      </c>
      <c r="Q27" s="625">
        <f>3%*'Investitii-constante'!P37</f>
        <v>144405.75292500001</v>
      </c>
      <c r="R27" s="625">
        <f>3%*'Investitii-constante'!Q37</f>
        <v>144405.75292500001</v>
      </c>
      <c r="S27" s="625">
        <f>3%*'Investitii-constante'!R37</f>
        <v>144405.75292500001</v>
      </c>
      <c r="T27" s="625">
        <f>3%*'Investitii-constante'!S37</f>
        <v>144405.75292500001</v>
      </c>
      <c r="U27" s="625">
        <f>T27</f>
        <v>144405.75292500001</v>
      </c>
      <c r="V27" s="625">
        <f t="shared" ref="V27:AI27" si="57">U27</f>
        <v>144405.75292500001</v>
      </c>
      <c r="W27" s="625">
        <f t="shared" si="57"/>
        <v>144405.75292500001</v>
      </c>
      <c r="X27" s="625">
        <f t="shared" si="57"/>
        <v>144405.75292500001</v>
      </c>
      <c r="Y27" s="625">
        <f t="shared" si="57"/>
        <v>144405.75292500001</v>
      </c>
      <c r="Z27" s="625">
        <f t="shared" si="57"/>
        <v>144405.75292500001</v>
      </c>
      <c r="AA27" s="625">
        <f t="shared" si="57"/>
        <v>144405.75292500001</v>
      </c>
      <c r="AB27" s="625">
        <f t="shared" si="57"/>
        <v>144405.75292500001</v>
      </c>
      <c r="AC27" s="625">
        <f t="shared" si="57"/>
        <v>144405.75292500001</v>
      </c>
      <c r="AD27" s="625">
        <f t="shared" si="57"/>
        <v>144405.75292500001</v>
      </c>
      <c r="AE27" s="625">
        <f t="shared" si="57"/>
        <v>144405.75292500001</v>
      </c>
      <c r="AF27" s="625">
        <f t="shared" si="57"/>
        <v>144405.75292500001</v>
      </c>
      <c r="AG27" s="625">
        <f t="shared" si="57"/>
        <v>144405.75292500001</v>
      </c>
      <c r="AH27" s="625">
        <f t="shared" si="57"/>
        <v>144405.75292500001</v>
      </c>
      <c r="AI27" s="625">
        <f t="shared" si="57"/>
        <v>144405.75292500001</v>
      </c>
    </row>
    <row r="28" spans="2:42" x14ac:dyDescent="0.25">
      <c r="B28" s="657" t="s">
        <v>297</v>
      </c>
      <c r="C28" s="626" t="s">
        <v>286</v>
      </c>
      <c r="D28" s="626"/>
      <c r="E28" s="626"/>
      <c r="F28" s="626" t="s">
        <v>2</v>
      </c>
      <c r="G28" s="627">
        <f>G23+G13</f>
        <v>3301902.5424347646</v>
      </c>
      <c r="H28" s="627">
        <f>H23+H13</f>
        <v>3522951.3550513587</v>
      </c>
      <c r="I28" s="627">
        <f>I23+I13</f>
        <v>3396322.2713622306</v>
      </c>
      <c r="J28" s="627">
        <f t="shared" ref="J28:M28" si="58">J23+J13</f>
        <v>3743904.9358259607</v>
      </c>
      <c r="K28" s="627">
        <f t="shared" si="58"/>
        <v>3914953.9401335018</v>
      </c>
      <c r="L28" s="627">
        <f t="shared" si="58"/>
        <v>4254435.5891929008</v>
      </c>
      <c r="M28" s="627">
        <f t="shared" si="58"/>
        <v>4438194.2019323949</v>
      </c>
      <c r="N28" s="627">
        <f>N23+N13+N27</f>
        <v>5429385.1882043332</v>
      </c>
      <c r="O28" s="627">
        <f t="shared" ref="O28:P28" si="59">O23+O13+O27</f>
        <v>5752175.9316956215</v>
      </c>
      <c r="P28" s="627">
        <f t="shared" si="59"/>
        <v>5951387.3299787864</v>
      </c>
      <c r="Q28" s="627">
        <f t="shared" ref="Q28" si="60">Q23+Q13+Q27</f>
        <v>5837518.934520741</v>
      </c>
      <c r="R28" s="627">
        <f t="shared" ref="R28" si="61">R23+R13+R27</f>
        <v>5931054.272857138</v>
      </c>
      <c r="S28" s="627">
        <f t="shared" ref="S28" si="62">S23+S13+S27</f>
        <v>6026248.7210876448</v>
      </c>
      <c r="T28" s="627">
        <f t="shared" ref="T28" si="63">T23+T13+T27</f>
        <v>6123133.4535030145</v>
      </c>
      <c r="U28" s="627">
        <f t="shared" ref="U28" si="64">U23+U13+U27</f>
        <v>6221740.2489166902</v>
      </c>
      <c r="V28" s="627">
        <f t="shared" ref="V28" si="65">V23+V13+V27</f>
        <v>6322101.502635899</v>
      </c>
      <c r="W28" s="627">
        <f t="shared" ref="W28" si="66">W23+W13+W27</f>
        <v>6424250.2386741666</v>
      </c>
      <c r="X28" s="627">
        <f t="shared" ref="X28" si="67">X23+X13+X27</f>
        <v>6531317.5769390864</v>
      </c>
      <c r="Y28" s="627">
        <f t="shared" ref="Y28" si="68">Y23+Y13+Y27</f>
        <v>6629001.1307107601</v>
      </c>
      <c r="Z28" s="627">
        <f t="shared" ref="Z28" si="69">Z23+Z13+Z27</f>
        <v>6728405.6648699986</v>
      </c>
      <c r="AA28" s="627">
        <f t="shared" ref="AA28" si="70">AA23+AA13+AA27</f>
        <v>6829563.5246581016</v>
      </c>
      <c r="AB28" s="627">
        <f t="shared" ref="AB28" si="71">AB23+AB13+AB27</f>
        <v>6932507.6877059396</v>
      </c>
      <c r="AC28" s="627">
        <f t="shared" ref="AC28" si="72">AC23+AC13+AC27</f>
        <v>7037271.7767327623</v>
      </c>
      <c r="AD28" s="627">
        <f t="shared" ref="AD28" si="73">AD23+AD13+AD27</f>
        <v>7143890.0725054638</v>
      </c>
      <c r="AE28" s="627">
        <f t="shared" ref="AE28" si="74">AE23+AE13+AE27</f>
        <v>7252397.5270636044</v>
      </c>
      <c r="AF28" s="627">
        <f t="shared" ref="AF28" si="75">AF23+AF13+AF27</f>
        <v>7362829.7772158841</v>
      </c>
      <c r="AG28" s="627">
        <f t="shared" ref="AG28" si="76">AG23+AG13+AG27</f>
        <v>7475223.1583136329</v>
      </c>
      <c r="AH28" s="627">
        <f t="shared" ref="AH28" si="77">AH23+AH13+AH27</f>
        <v>7597793.5221093101</v>
      </c>
      <c r="AI28" s="627">
        <f t="shared" ref="AI28" si="78">AI23+AI13+AI27</f>
        <v>7722679.8011510093</v>
      </c>
    </row>
    <row r="29" spans="2:42" x14ac:dyDescent="0.25">
      <c r="B29" s="548" t="s">
        <v>292</v>
      </c>
      <c r="C29" s="548" t="s">
        <v>273</v>
      </c>
      <c r="D29" s="548"/>
      <c r="E29" s="548"/>
      <c r="F29" s="548"/>
      <c r="G29" s="630">
        <v>7175470</v>
      </c>
      <c r="H29" s="630">
        <v>7701484</v>
      </c>
      <c r="I29" s="630">
        <v>7006725</v>
      </c>
      <c r="J29" s="630">
        <v>7964639</v>
      </c>
      <c r="K29" s="630">
        <v>8453427</v>
      </c>
      <c r="L29" s="625">
        <f>'[20]Prognoza Apa'!E115</f>
        <v>9415424.5498582441</v>
      </c>
      <c r="M29" s="625">
        <f>'[20]Prognoza Apa'!F115</f>
        <v>9780464.1610043906</v>
      </c>
      <c r="N29" s="625">
        <f>'[20]Prognoza Apa'!G115</f>
        <v>10150000.932535574</v>
      </c>
      <c r="O29" s="625">
        <f>'[20]Prognoza Apa'!H115</f>
        <v>10515710.356381847</v>
      </c>
      <c r="P29" s="625">
        <f>'[20]Prognoza Apa'!I115</f>
        <v>10876752.27756181</v>
      </c>
      <c r="Q29" s="625">
        <f>'[20]Prognoza Apa'!J115</f>
        <v>12703992.700848322</v>
      </c>
      <c r="R29" s="625">
        <f>'[20]Prognoza Apa'!K115</f>
        <v>12675062.070523888</v>
      </c>
      <c r="S29" s="625">
        <f>'[20]Prognoza Apa'!L115</f>
        <v>12646056.936154144</v>
      </c>
      <c r="T29" s="625">
        <f>'[20]Prognoza Apa'!M115</f>
        <v>12616979.299579475</v>
      </c>
      <c r="U29" s="625">
        <f>'[20]Prognoza Apa'!N115</f>
        <v>12587831.142265169</v>
      </c>
      <c r="V29" s="625">
        <f>'[20]Prognoza Apa'!O115</f>
        <v>12558614.425452448</v>
      </c>
      <c r="W29" s="625">
        <f>'[20]Prognoza Apa'!P115</f>
        <v>12529331.090308804</v>
      </c>
      <c r="X29" s="625">
        <f>'[20]Prognoza Apa'!Q115</f>
        <v>12508573.7305458</v>
      </c>
      <c r="Y29" s="625">
        <f>'[20]Prognoza Apa'!R115</f>
        <v>12456836.805714611</v>
      </c>
      <c r="Z29" s="625">
        <f>'[20]Prognoza Apa'!S115</f>
        <v>12405397.578758985</v>
      </c>
      <c r="AA29" s="625">
        <f>'[20]Prognoza Apa'!T115</f>
        <v>12354253.785537558</v>
      </c>
      <c r="AB29" s="625">
        <f>'[20]Prognoza Apa'!U115</f>
        <v>12303403.183523823</v>
      </c>
      <c r="AC29" s="625">
        <f>'[20]Prognoza Apa'!V115</f>
        <v>12252843.551578701</v>
      </c>
      <c r="AD29" s="625">
        <f>'[20]Prognoza Apa'!W115</f>
        <v>12202572.689725639</v>
      </c>
      <c r="AE29" s="625">
        <f>'[20]Prognoza Apa'!X115</f>
        <v>12152588.418928016</v>
      </c>
      <c r="AF29" s="625">
        <f>'[20]Prognoza Apa'!Y115</f>
        <v>12102888.580868978</v>
      </c>
      <c r="AG29" s="625">
        <f>'[20]Prognoza Apa'!Z115</f>
        <v>12053471.037733642</v>
      </c>
      <c r="AH29" s="625">
        <f>'[20]Prognoza Apa'!AA115</f>
        <v>12023182.351283405</v>
      </c>
      <c r="AI29" s="625">
        <f>'[20]Prognoza Apa'!AB115</f>
        <v>11993107.243596498</v>
      </c>
    </row>
    <row r="30" spans="2:42" x14ac:dyDescent="0.25">
      <c r="B30" s="548" t="s">
        <v>298</v>
      </c>
      <c r="C30" s="548" t="s">
        <v>299</v>
      </c>
      <c r="D30" s="548"/>
      <c r="E30" s="548"/>
      <c r="F30" s="548"/>
      <c r="G30" s="625">
        <f>'prognoze cantitati'!H247</f>
        <v>41006.179452149183</v>
      </c>
      <c r="H30" s="625">
        <f>'prognoze cantitati'!I247</f>
        <v>68343.632420248643</v>
      </c>
      <c r="I30" s="625">
        <f>'prognoze cantitati'!J247</f>
        <v>97633.760600355206</v>
      </c>
      <c r="J30" s="625">
        <f>'prognoze cantitati'!K247</f>
        <v>122042.200750444</v>
      </c>
      <c r="K30" s="625">
        <f>'prognoze cantitati'!L247</f>
        <v>135602.4452782711</v>
      </c>
      <c r="L30" s="625">
        <f>'prognoze cantitati'!M247</f>
        <v>135020.0859987583</v>
      </c>
      <c r="M30" s="625">
        <f>'prognoze cantitati'!N247</f>
        <v>133827.41759261713</v>
      </c>
      <c r="N30" s="625">
        <f>'prognoze cantitati'!O247</f>
        <v>132922.19012533707</v>
      </c>
      <c r="O30" s="625">
        <f>'prognoze cantitati'!P247</f>
        <v>132023.08574391078</v>
      </c>
      <c r="P30" s="625">
        <f>'prognoze cantitati'!Q247</f>
        <v>131130.06303092488</v>
      </c>
      <c r="Q30" s="625">
        <f>'prognoze cantitati'!R247</f>
        <v>188898.18061596624</v>
      </c>
      <c r="R30" s="625">
        <f>'prognoze cantitati'!S247</f>
        <v>187620.44676524421</v>
      </c>
      <c r="S30" s="625">
        <f>'prognoze cantitati'!T247</f>
        <v>186351.35568592395</v>
      </c>
      <c r="T30" s="625">
        <f>'prognoze cantitati'!U247</f>
        <v>185090.84891708454</v>
      </c>
      <c r="U30" s="625">
        <f>'prognoze cantitati'!V247</f>
        <v>183838.86839324329</v>
      </c>
      <c r="V30" s="625">
        <f>'prognoze cantitati'!W247</f>
        <v>182595.3564416802</v>
      </c>
      <c r="W30" s="625">
        <f>'prognoze cantitati'!X247</f>
        <v>181360.25577978173</v>
      </c>
      <c r="X30" s="625">
        <f>'prognoze cantitati'!Y247</f>
        <v>180332.82568689989</v>
      </c>
      <c r="Y30" s="625">
        <f>'prognoze cantitati'!Z247</f>
        <v>179311.21612283925</v>
      </c>
      <c r="Z30" s="625">
        <f>'prognoze cantitati'!AA247</f>
        <v>178295.39411352563</v>
      </c>
      <c r="AA30" s="625">
        <f>'prognoze cantitati'!AB247</f>
        <v>177285.32687168787</v>
      </c>
      <c r="AB30" s="625">
        <f>'prognoze cantitati'!AC247</f>
        <v>176280.98179579916</v>
      </c>
      <c r="AC30" s="625">
        <f>'prognoze cantitati'!AD247</f>
        <v>175282.32646902415</v>
      </c>
      <c r="AD30" s="625">
        <f>'prognoze cantitati'!AE247</f>
        <v>174289.32865817365</v>
      </c>
      <c r="AE30" s="625">
        <f>'prognoze cantitati'!AF247</f>
        <v>173301.95631266368</v>
      </c>
      <c r="AF30" s="625">
        <f>'prognoze cantitati'!AG247</f>
        <v>172320.17756348109</v>
      </c>
      <c r="AG30" s="625">
        <f>'prognoze cantitati'!AH247</f>
        <v>171343.96072215479</v>
      </c>
      <c r="AH30" s="625">
        <f>'prognoze cantitati'!AI247</f>
        <v>170798.6752329313</v>
      </c>
      <c r="AI30" s="625">
        <f>'prognoze cantitati'!AJ247</f>
        <v>170255.12506174011</v>
      </c>
    </row>
    <row r="31" spans="2:42" x14ac:dyDescent="0.25">
      <c r="B31" s="548" t="s">
        <v>314</v>
      </c>
      <c r="C31" s="548" t="s">
        <v>300</v>
      </c>
      <c r="D31" s="548"/>
      <c r="E31" s="548"/>
      <c r="F31" s="548"/>
      <c r="G31" s="617">
        <f>G28/G30</f>
        <v>80.522072198601464</v>
      </c>
      <c r="H31" s="628">
        <f>H28/H30</f>
        <v>51.54761651222374</v>
      </c>
      <c r="I31" s="628">
        <f>I28/I30</f>
        <v>34.786351058056802</v>
      </c>
      <c r="J31" s="628">
        <f t="shared" ref="J31:AI31" si="79">J28/J30</f>
        <v>30.677133916010117</v>
      </c>
      <c r="K31" s="628">
        <f t="shared" si="79"/>
        <v>28.870821113141336</v>
      </c>
      <c r="L31" s="628">
        <f t="shared" si="79"/>
        <v>31.509649528974723</v>
      </c>
      <c r="M31" s="628">
        <f t="shared" si="79"/>
        <v>33.163564550297629</v>
      </c>
      <c r="N31" s="628">
        <f t="shared" si="79"/>
        <v>40.846341631030697</v>
      </c>
      <c r="O31" s="628">
        <f t="shared" si="79"/>
        <v>43.569470439838781</v>
      </c>
      <c r="P31" s="628">
        <f t="shared" si="79"/>
        <v>45.385376872542558</v>
      </c>
      <c r="Q31" s="628">
        <f t="shared" si="79"/>
        <v>30.902991841877679</v>
      </c>
      <c r="R31" s="628">
        <f t="shared" si="79"/>
        <v>31.611982463074689</v>
      </c>
      <c r="S31" s="628">
        <f t="shared" si="79"/>
        <v>32.338099709047825</v>
      </c>
      <c r="T31" s="628">
        <f t="shared" si="79"/>
        <v>33.081773028368382</v>
      </c>
      <c r="U31" s="628">
        <f t="shared" si="79"/>
        <v>33.843442919850787</v>
      </c>
      <c r="V31" s="628">
        <f t="shared" si="79"/>
        <v>34.623561222134029</v>
      </c>
      <c r="W31" s="628">
        <f t="shared" si="79"/>
        <v>35.422591410958688</v>
      </c>
      <c r="X31" s="628">
        <f t="shared" si="79"/>
        <v>36.218129184527875</v>
      </c>
      <c r="Y31" s="628">
        <f t="shared" si="79"/>
        <v>36.969249743805683</v>
      </c>
      <c r="Z31" s="628">
        <f t="shared" si="79"/>
        <v>37.737405939863123</v>
      </c>
      <c r="AA31" s="628">
        <f t="shared" si="79"/>
        <v>38.523004950099853</v>
      </c>
      <c r="AB31" s="628">
        <f t="shared" si="79"/>
        <v>39.326464018316145</v>
      </c>
      <c r="AC31" s="628">
        <f t="shared" si="79"/>
        <v>40.14821070951718</v>
      </c>
      <c r="AD31" s="628">
        <f t="shared" si="79"/>
        <v>40.98868317128283</v>
      </c>
      <c r="AE31" s="628">
        <f t="shared" si="79"/>
        <v>41.848330401874698</v>
      </c>
      <c r="AF31" s="628">
        <f t="shared" si="79"/>
        <v>42.72761252525688</v>
      </c>
      <c r="AG31" s="628">
        <f t="shared" si="79"/>
        <v>43.627001073210778</v>
      </c>
      <c r="AH31" s="628">
        <f t="shared" si="79"/>
        <v>44.483913658859557</v>
      </c>
      <c r="AI31" s="628">
        <f t="shared" si="79"/>
        <v>45.359455689516025</v>
      </c>
    </row>
    <row r="32" spans="2:42" x14ac:dyDescent="0.25">
      <c r="B32" s="548"/>
      <c r="C32" s="548"/>
      <c r="D32" s="548"/>
      <c r="E32" s="548"/>
      <c r="F32" s="548"/>
      <c r="G32" s="629">
        <v>70</v>
      </c>
      <c r="H32" s="625"/>
      <c r="I32" s="625"/>
      <c r="J32" s="625"/>
      <c r="K32" s="625"/>
      <c r="L32" s="625"/>
      <c r="M32" s="625"/>
      <c r="N32" s="625"/>
      <c r="O32" s="625"/>
      <c r="P32" s="625"/>
      <c r="Q32" s="625"/>
      <c r="R32" s="625"/>
      <c r="S32" s="625"/>
      <c r="T32" s="625"/>
      <c r="U32" s="625"/>
      <c r="V32" s="625"/>
      <c r="W32" s="625"/>
      <c r="X32" s="625"/>
      <c r="Y32" s="625"/>
      <c r="Z32" s="625"/>
      <c r="AA32" s="625"/>
      <c r="AB32" s="625"/>
      <c r="AC32" s="625"/>
      <c r="AD32" s="625"/>
      <c r="AE32" s="625"/>
      <c r="AF32" s="625"/>
      <c r="AG32" s="625"/>
      <c r="AH32" s="625"/>
      <c r="AI32" s="625"/>
    </row>
    <row r="33" spans="2:42" x14ac:dyDescent="0.25">
      <c r="B33" s="644" t="s">
        <v>311</v>
      </c>
      <c r="C33" s="548" t="s">
        <v>273</v>
      </c>
      <c r="D33" s="548"/>
      <c r="E33" s="548"/>
      <c r="F33" s="548"/>
      <c r="G33" s="630">
        <v>4735855</v>
      </c>
      <c r="H33" s="630">
        <v>4713648</v>
      </c>
      <c r="I33" s="630">
        <v>4564850</v>
      </c>
      <c r="J33" s="630">
        <v>4698315</v>
      </c>
      <c r="K33" s="630">
        <v>4620248</v>
      </c>
      <c r="L33" s="630">
        <f>'prognoze cantitati'!M243</f>
        <v>4929625.552303127</v>
      </c>
      <c r="M33" s="630">
        <f>'prognoze cantitati'!N243</f>
        <v>5219792.0163761294</v>
      </c>
      <c r="N33" s="630">
        <f>'prognoze cantitati'!O243</f>
        <v>5513613.084572887</v>
      </c>
      <c r="O33" s="630">
        <f>'prognoze cantitati'!P243</f>
        <v>5803683.1943154987</v>
      </c>
      <c r="P33" s="630">
        <f>'prognoze cantitati'!Q243</f>
        <v>6089251.8061192278</v>
      </c>
      <c r="Q33" s="630">
        <f>'prognoze cantitati'!R243</f>
        <v>8496035.8000984676</v>
      </c>
      <c r="R33" s="630">
        <f>'prognoze cantitati'!S243</f>
        <v>8498313.8453109078</v>
      </c>
      <c r="S33" s="630">
        <f>'prognoze cantitati'!T243</f>
        <v>8500245.6113310102</v>
      </c>
      <c r="T33" s="630">
        <f>'prognoze cantitati'!U243</f>
        <v>8501835.678492289</v>
      </c>
      <c r="U33" s="630">
        <f>'prognoze cantitati'!V243</f>
        <v>8503088.581007747</v>
      </c>
      <c r="V33" s="630">
        <f>'prognoze cantitati'!W243</f>
        <v>8504008.8073842153</v>
      </c>
      <c r="W33" s="630">
        <f>'prognoze cantitati'!X243</f>
        <v>8504600.8008332457</v>
      </c>
      <c r="X33" s="630">
        <f>'prognoze cantitati'!Y243</f>
        <v>8512507.7520661373</v>
      </c>
      <c r="Y33" s="630">
        <f>'prognoze cantitati'!Z243</f>
        <v>8492604.1519602295</v>
      </c>
      <c r="Z33" s="630">
        <f>'prognoze cantitati'!AA243</f>
        <v>8472704.2569291797</v>
      </c>
      <c r="AA33" s="630">
        <f>'prognoze cantitati'!AB243</f>
        <v>8452808.6637744606</v>
      </c>
      <c r="AB33" s="630">
        <f>'prognoze cantitati'!AC243</f>
        <v>8432917.9624167234</v>
      </c>
      <c r="AC33" s="630">
        <f>'prognoze cantitati'!AD243</f>
        <v>8413032.7359545697</v>
      </c>
      <c r="AD33" s="630">
        <f>'prognoze cantitati'!AE243</f>
        <v>8393153.5607229695</v>
      </c>
      <c r="AE33" s="630">
        <f>'prognoze cantitati'!AF243</f>
        <v>8373281.0063511413</v>
      </c>
      <c r="AF33" s="630">
        <f>'prognoze cantitati'!AG243</f>
        <v>8353415.6358200442</v>
      </c>
      <c r="AG33" s="630">
        <f>'prognoze cantitati'!AH243</f>
        <v>8333558.0055194236</v>
      </c>
      <c r="AH33" s="630">
        <f>'prognoze cantitati'!AI243</f>
        <v>8330468.8372707926</v>
      </c>
      <c r="AI33" s="630">
        <f>'prognoze cantitati'!AJ243</f>
        <v>8327331.1482900921</v>
      </c>
    </row>
    <row r="34" spans="2:42" x14ac:dyDescent="0.25">
      <c r="B34" s="548" t="s">
        <v>312</v>
      </c>
      <c r="C34" s="548" t="s">
        <v>288</v>
      </c>
      <c r="D34" s="548"/>
      <c r="E34" s="548"/>
      <c r="F34" s="548"/>
      <c r="G34" s="631">
        <f>G28/G33</f>
        <v>0.69721360608269567</v>
      </c>
      <c r="H34" s="631">
        <f>H28/H33</f>
        <v>0.7473938136770838</v>
      </c>
      <c r="I34" s="628">
        <f>I28/I33</f>
        <v>0.74401618264833036</v>
      </c>
      <c r="J34" s="628">
        <f t="shared" ref="J34:AI34" si="80">J28/J33</f>
        <v>0.79686120147881967</v>
      </c>
      <c r="K34" s="628">
        <f t="shared" si="80"/>
        <v>0.84734714243337195</v>
      </c>
      <c r="L34" s="628">
        <f t="shared" si="80"/>
        <v>0.86303422928445817</v>
      </c>
      <c r="M34" s="628">
        <f t="shared" si="80"/>
        <v>0.85026265184673711</v>
      </c>
      <c r="N34" s="631">
        <f t="shared" si="80"/>
        <v>0.98472364761970266</v>
      </c>
      <c r="O34" s="631">
        <f t="shared" si="80"/>
        <v>0.99112507335508482</v>
      </c>
      <c r="P34" s="631">
        <f t="shared" si="80"/>
        <v>0.97735937344520751</v>
      </c>
      <c r="Q34" s="631">
        <f t="shared" si="80"/>
        <v>0.68708737484993709</v>
      </c>
      <c r="R34" s="631">
        <f t="shared" si="80"/>
        <v>0.69790953603457473</v>
      </c>
      <c r="S34" s="631">
        <f t="shared" si="80"/>
        <v>0.70894995234661518</v>
      </c>
      <c r="T34" s="631">
        <f t="shared" si="80"/>
        <v>0.72021310280003992</v>
      </c>
      <c r="U34" s="631">
        <f t="shared" si="80"/>
        <v>0.7317035674323551</v>
      </c>
      <c r="V34" s="631">
        <f t="shared" si="80"/>
        <v>0.74342602951519532</v>
      </c>
      <c r="W34" s="631">
        <f t="shared" si="80"/>
        <v>0.75538527781865372</v>
      </c>
      <c r="X34" s="631">
        <f t="shared" si="80"/>
        <v>0.76726127801220734</v>
      </c>
      <c r="Y34" s="631">
        <f t="shared" si="80"/>
        <v>0.78056165247978504</v>
      </c>
      <c r="Z34" s="631">
        <f t="shared" si="80"/>
        <v>0.79412728933236965</v>
      </c>
      <c r="AA34" s="631">
        <f t="shared" si="80"/>
        <v>0.80796381372348181</v>
      </c>
      <c r="AB34" s="631">
        <f t="shared" si="80"/>
        <v>0.82207697485049491</v>
      </c>
      <c r="AC34" s="631">
        <f t="shared" si="80"/>
        <v>0.83647264875812832</v>
      </c>
      <c r="AD34" s="631">
        <f t="shared" si="80"/>
        <v>0.85115684120643009</v>
      </c>
      <c r="AE34" s="631">
        <f t="shared" si="80"/>
        <v>0.86613569060475271</v>
      </c>
      <c r="AF34" s="631">
        <f t="shared" si="80"/>
        <v>0.88141547101326345</v>
      </c>
      <c r="AG34" s="631">
        <f t="shared" si="80"/>
        <v>0.89700259521355652</v>
      </c>
      <c r="AH34" s="631">
        <f t="shared" si="80"/>
        <v>0.91204872985257823</v>
      </c>
      <c r="AI34" s="631">
        <f t="shared" si="80"/>
        <v>0.92738953977310723</v>
      </c>
    </row>
    <row r="35" spans="2:42" x14ac:dyDescent="0.25">
      <c r="B35" s="548" t="s">
        <v>312</v>
      </c>
      <c r="C35" s="548" t="s">
        <v>313</v>
      </c>
      <c r="D35" s="548"/>
      <c r="E35" s="548"/>
      <c r="F35" s="548"/>
      <c r="G35" s="631">
        <f>G34*AS3</f>
        <v>3.1249811038232505</v>
      </c>
      <c r="H35" s="631">
        <f t="shared" ref="H35:K35" si="81">H34*AT3</f>
        <v>3.3815833099819654</v>
      </c>
      <c r="I35" s="631">
        <f t="shared" si="81"/>
        <v>3.3412278730371221</v>
      </c>
      <c r="J35" s="631">
        <f t="shared" si="81"/>
        <v>3.6401416544753964</v>
      </c>
      <c r="K35" s="631">
        <f t="shared" si="81"/>
        <v>3.9431299273136964</v>
      </c>
      <c r="L35" s="658">
        <f>L34*4.8</f>
        <v>4.1425643005653994</v>
      </c>
      <c r="M35" s="658">
        <f>M34*4.8</f>
        <v>4.0812607288643381</v>
      </c>
      <c r="N35" s="658">
        <f t="shared" ref="N35:AI35" si="82">N34*4.8</f>
        <v>4.7266735085745726</v>
      </c>
      <c r="O35" s="658">
        <f t="shared" si="82"/>
        <v>4.7574003521044066</v>
      </c>
      <c r="P35" s="658">
        <f t="shared" si="82"/>
        <v>4.6913249925369955</v>
      </c>
      <c r="Q35" s="658">
        <f t="shared" si="82"/>
        <v>3.2980193992796978</v>
      </c>
      <c r="R35" s="658">
        <f t="shared" si="82"/>
        <v>3.3499657729659584</v>
      </c>
      <c r="S35" s="658">
        <f t="shared" si="82"/>
        <v>3.4029597712637529</v>
      </c>
      <c r="T35" s="658">
        <f t="shared" si="82"/>
        <v>3.4570228934401914</v>
      </c>
      <c r="U35" s="658">
        <f t="shared" si="82"/>
        <v>3.5121771236753045</v>
      </c>
      <c r="V35" s="658">
        <f t="shared" si="82"/>
        <v>3.5684449416729374</v>
      </c>
      <c r="W35" s="658">
        <f t="shared" si="82"/>
        <v>3.6258493335295379</v>
      </c>
      <c r="X35" s="658">
        <f t="shared" si="82"/>
        <v>3.6828541344585952</v>
      </c>
      <c r="Y35" s="658">
        <f t="shared" si="82"/>
        <v>3.746695931902968</v>
      </c>
      <c r="Z35" s="658">
        <f t="shared" si="82"/>
        <v>3.8118109887953739</v>
      </c>
      <c r="AA35" s="658">
        <f t="shared" si="82"/>
        <v>3.8782263058727127</v>
      </c>
      <c r="AB35" s="658">
        <f t="shared" si="82"/>
        <v>3.9459694792823754</v>
      </c>
      <c r="AC35" s="658">
        <f t="shared" si="82"/>
        <v>4.0150687140390158</v>
      </c>
      <c r="AD35" s="658">
        <f t="shared" si="82"/>
        <v>4.0855528377908641</v>
      </c>
      <c r="AE35" s="658">
        <f t="shared" si="82"/>
        <v>4.1574513149028132</v>
      </c>
      <c r="AF35" s="658">
        <f t="shared" si="82"/>
        <v>4.2307942608636644</v>
      </c>
      <c r="AG35" s="658">
        <f t="shared" si="82"/>
        <v>4.3056124570250711</v>
      </c>
      <c r="AH35" s="658">
        <f t="shared" si="82"/>
        <v>4.377833903292375</v>
      </c>
      <c r="AI35" s="658">
        <f t="shared" si="82"/>
        <v>4.4514697909109149</v>
      </c>
    </row>
    <row r="36" spans="2:42" x14ac:dyDescent="0.25">
      <c r="B36" s="632"/>
      <c r="C36" s="632"/>
      <c r="D36" s="632"/>
      <c r="E36" s="632"/>
      <c r="F36" s="632"/>
      <c r="G36" s="632"/>
      <c r="H36" s="632"/>
      <c r="I36" s="632"/>
      <c r="J36" s="632"/>
      <c r="K36" s="632"/>
      <c r="L36" s="632"/>
      <c r="M36" s="632"/>
      <c r="N36" s="632"/>
      <c r="O36" s="632"/>
      <c r="P36" s="632"/>
      <c r="Q36" s="632"/>
      <c r="R36" s="632"/>
      <c r="S36" s="632"/>
      <c r="T36" s="632"/>
      <c r="U36" s="632"/>
      <c r="V36" s="632"/>
      <c r="W36" s="632"/>
      <c r="X36" s="632"/>
      <c r="Y36" s="632"/>
      <c r="Z36" s="632"/>
      <c r="AA36" s="632"/>
      <c r="AB36" s="632"/>
      <c r="AC36" s="632"/>
      <c r="AD36" s="632"/>
      <c r="AE36" s="632"/>
      <c r="AF36" s="632"/>
      <c r="AG36" s="632"/>
      <c r="AH36" s="632"/>
      <c r="AI36" s="632"/>
    </row>
    <row r="37" spans="2:42" ht="15.75" x14ac:dyDescent="0.25">
      <c r="B37" s="649" t="s">
        <v>281</v>
      </c>
      <c r="C37" s="548"/>
      <c r="D37" s="548"/>
      <c r="E37" s="548"/>
      <c r="F37" s="548"/>
      <c r="G37" s="633">
        <f>G38/G53</f>
        <v>0.15723228440737444</v>
      </c>
      <c r="H37" s="633">
        <f t="shared" ref="H37:AH37" si="83">H38/H53</f>
        <v>0.18680225850732016</v>
      </c>
      <c r="I37" s="633">
        <f t="shared" si="83"/>
        <v>0.19282677458985295</v>
      </c>
      <c r="J37" s="633">
        <f t="shared" si="83"/>
        <v>0.19774974113200822</v>
      </c>
      <c r="K37" s="633">
        <f t="shared" si="83"/>
        <v>0.17581108542819812</v>
      </c>
      <c r="L37" s="633">
        <f t="shared" si="83"/>
        <v>0.18721107620685529</v>
      </c>
      <c r="M37" s="633">
        <f t="shared" si="83"/>
        <v>0.18504901085536099</v>
      </c>
      <c r="N37" s="633">
        <f t="shared" si="83"/>
        <v>0.15589018087464826</v>
      </c>
      <c r="O37" s="633">
        <f t="shared" si="83"/>
        <v>0.15368326975604762</v>
      </c>
      <c r="P37" s="633">
        <f t="shared" si="83"/>
        <v>0.15502302582962821</v>
      </c>
      <c r="Q37" s="633">
        <f t="shared" si="83"/>
        <v>0.10623099339671288</v>
      </c>
      <c r="R37" s="633">
        <f t="shared" si="83"/>
        <v>0.11053731875518522</v>
      </c>
      <c r="S37" s="633">
        <f t="shared" si="83"/>
        <v>0.11567243323093342</v>
      </c>
      <c r="T37" s="633">
        <f t="shared" si="83"/>
        <v>0.12180085672031109</v>
      </c>
      <c r="U37" s="633">
        <f t="shared" si="83"/>
        <v>0.1495951222899235</v>
      </c>
      <c r="V37" s="633">
        <f t="shared" si="83"/>
        <v>0.15911564933319519</v>
      </c>
      <c r="W37" s="633">
        <f t="shared" si="83"/>
        <v>0.1705310771323725</v>
      </c>
      <c r="X37" s="633">
        <f t="shared" si="83"/>
        <v>0.18410942867723651</v>
      </c>
      <c r="Y37" s="633">
        <f t="shared" si="83"/>
        <v>0.20080799304470293</v>
      </c>
      <c r="Z37" s="633">
        <f t="shared" si="83"/>
        <v>0.22076286250137545</v>
      </c>
      <c r="AA37" s="633">
        <f t="shared" si="83"/>
        <v>0.24453347081822455</v>
      </c>
      <c r="AB37" s="633">
        <f t="shared" si="83"/>
        <v>0.27269949574317481</v>
      </c>
      <c r="AC37" s="633">
        <f t="shared" si="83"/>
        <v>0.30580836137512218</v>
      </c>
      <c r="AD37" s="633">
        <f t="shared" si="83"/>
        <v>0.34429351334503844</v>
      </c>
      <c r="AE37" s="633">
        <f t="shared" si="83"/>
        <v>0.38836252887053846</v>
      </c>
      <c r="AF37" s="633">
        <f t="shared" si="83"/>
        <v>0.43786491024923974</v>
      </c>
      <c r="AG37" s="633">
        <f t="shared" si="83"/>
        <v>0.49216590698412632</v>
      </c>
      <c r="AH37" s="633">
        <f t="shared" si="83"/>
        <v>0.54965998027179874</v>
      </c>
      <c r="AI37" s="633">
        <f>AI38/AI53</f>
        <v>0.60905423720387697</v>
      </c>
    </row>
    <row r="38" spans="2:42" x14ac:dyDescent="0.25">
      <c r="B38" s="634" t="s">
        <v>282</v>
      </c>
      <c r="C38" s="548" t="s">
        <v>286</v>
      </c>
      <c r="D38" s="548"/>
      <c r="E38" s="548"/>
      <c r="F38" s="548"/>
      <c r="G38" s="635">
        <f>(0.3*(0.204*$G$54^0.9008+0.32*$G$54^0.6961)+0.3*(0.007*117005.5*1000))*1.2</f>
        <v>409245.10880773951</v>
      </c>
      <c r="H38" s="636">
        <f t="shared" ref="H38" si="84">SUM(H39:H41)</f>
        <v>416263.66242379218</v>
      </c>
      <c r="I38" s="636">
        <f t="shared" ref="I38:AI38" si="85">SUM(I39:I41)</f>
        <v>424876.06204060756</v>
      </c>
      <c r="J38" s="636">
        <f t="shared" si="85"/>
        <v>435173.23944966542</v>
      </c>
      <c r="K38" s="636">
        <f t="shared" si="85"/>
        <v>447295.95900543069</v>
      </c>
      <c r="L38" s="636">
        <f t="shared" si="85"/>
        <v>461441.95688455476</v>
      </c>
      <c r="M38" s="636">
        <f t="shared" si="85"/>
        <v>477876.24262764421</v>
      </c>
      <c r="N38" s="636">
        <f t="shared" si="85"/>
        <v>496945.3262503664</v>
      </c>
      <c r="O38" s="636">
        <f t="shared" si="85"/>
        <v>519096.45255830121</v>
      </c>
      <c r="P38" s="636">
        <f t="shared" si="85"/>
        <v>544903.34854895854</v>
      </c>
      <c r="Q38" s="636">
        <f t="shared" si="85"/>
        <v>575100.56562040083</v>
      </c>
      <c r="R38" s="636">
        <f t="shared" si="85"/>
        <v>610629.29007032188</v>
      </c>
      <c r="S38" s="636">
        <f t="shared" si="85"/>
        <v>652698.59473584709</v>
      </c>
      <c r="T38" s="636">
        <f t="shared" si="85"/>
        <v>702867.64335968846</v>
      </c>
      <c r="U38" s="636">
        <f t="shared" si="85"/>
        <v>763156.52815250377</v>
      </c>
      <c r="V38" s="636">
        <f t="shared" si="85"/>
        <v>836196.49808793887</v>
      </c>
      <c r="W38" s="636">
        <f t="shared" si="85"/>
        <v>925434.72842048481</v>
      </c>
      <c r="X38" s="636">
        <f t="shared" si="85"/>
        <v>1035415.092224349</v>
      </c>
      <c r="Y38" s="636">
        <f t="shared" si="85"/>
        <v>1172165.5150577235</v>
      </c>
      <c r="Z38" s="636">
        <f t="shared" si="85"/>
        <v>1343735.7569133828</v>
      </c>
      <c r="AA38" s="636">
        <f t="shared" si="85"/>
        <v>1560948.8733326888</v>
      </c>
      <c r="AB38" s="636">
        <f t="shared" si="85"/>
        <v>1838458.1853698804</v>
      </c>
      <c r="AC38" s="636">
        <f t="shared" si="85"/>
        <v>2196243.9365218556</v>
      </c>
      <c r="AD38" s="636">
        <f t="shared" si="85"/>
        <v>2661746.9731407682</v>
      </c>
      <c r="AE38" s="636">
        <f t="shared" si="85"/>
        <v>3272931.5923494739</v>
      </c>
      <c r="AF38" s="636">
        <f t="shared" si="85"/>
        <v>4082712.954701772</v>
      </c>
      <c r="AG38" s="636">
        <f t="shared" si="85"/>
        <v>5165402.3544181287</v>
      </c>
      <c r="AH38" s="636">
        <f t="shared" si="85"/>
        <v>6626157.3020235859</v>
      </c>
      <c r="AI38" s="636">
        <f t="shared" si="85"/>
        <v>8614937.7859010715</v>
      </c>
      <c r="AL38" s="612">
        <f>0.204*$G$54^0.9008+0.32*$G$54^0.6961</f>
        <v>317753.4689103876</v>
      </c>
      <c r="AN38" s="612">
        <f>0.007*[19]Sheet1!$T$686*1000</f>
        <v>819038.62943428464</v>
      </c>
    </row>
    <row r="39" spans="2:42" x14ac:dyDescent="0.25">
      <c r="B39" s="548" t="s">
        <v>283</v>
      </c>
      <c r="C39" s="548" t="s">
        <v>286</v>
      </c>
      <c r="D39" s="548"/>
      <c r="E39" s="548"/>
      <c r="F39" s="548"/>
      <c r="G39" s="637">
        <f>G38*52%</f>
        <v>212807.45658002456</v>
      </c>
      <c r="H39" s="637">
        <f>$G39*H7</f>
        <v>217063.60571162504</v>
      </c>
      <c r="I39" s="637">
        <f>$G39*I7</f>
        <v>221404.87782585755</v>
      </c>
      <c r="J39" s="637">
        <f t="shared" ref="J39:AI39" si="86">$G39*J7</f>
        <v>225832.97538237469</v>
      </c>
      <c r="K39" s="637">
        <f t="shared" si="86"/>
        <v>230349.63489002219</v>
      </c>
      <c r="L39" s="637">
        <f t="shared" si="86"/>
        <v>234956.62758782264</v>
      </c>
      <c r="M39" s="637">
        <f t="shared" si="86"/>
        <v>239655.7601395791</v>
      </c>
      <c r="N39" s="637">
        <f t="shared" si="86"/>
        <v>244448.87534237068</v>
      </c>
      <c r="O39" s="637">
        <f t="shared" si="86"/>
        <v>249337.85284921812</v>
      </c>
      <c r="P39" s="637">
        <f t="shared" si="86"/>
        <v>254324.60990620247</v>
      </c>
      <c r="Q39" s="637">
        <f t="shared" si="86"/>
        <v>259411.10210432654</v>
      </c>
      <c r="R39" s="637">
        <f t="shared" si="86"/>
        <v>264599.32414641307</v>
      </c>
      <c r="S39" s="637">
        <f t="shared" si="86"/>
        <v>269891.31062934134</v>
      </c>
      <c r="T39" s="637">
        <f t="shared" si="86"/>
        <v>275289.13684192812</v>
      </c>
      <c r="U39" s="637">
        <f t="shared" si="86"/>
        <v>280794.91957876674</v>
      </c>
      <c r="V39" s="637">
        <f t="shared" si="86"/>
        <v>286410.81797034206</v>
      </c>
      <c r="W39" s="637">
        <f t="shared" si="86"/>
        <v>292139.03432974895</v>
      </c>
      <c r="X39" s="637">
        <f t="shared" si="86"/>
        <v>297981.8150163439</v>
      </c>
      <c r="Y39" s="637">
        <f t="shared" si="86"/>
        <v>303941.45131667081</v>
      </c>
      <c r="Z39" s="637">
        <f t="shared" si="86"/>
        <v>310020.28034300421</v>
      </c>
      <c r="AA39" s="637">
        <f t="shared" si="86"/>
        <v>316220.68594986433</v>
      </c>
      <c r="AB39" s="637">
        <f t="shared" si="86"/>
        <v>322545.09966886166</v>
      </c>
      <c r="AC39" s="637">
        <f t="shared" si="86"/>
        <v>328996.00166223891</v>
      </c>
      <c r="AD39" s="637">
        <f t="shared" si="86"/>
        <v>335575.92169548362</v>
      </c>
      <c r="AE39" s="637">
        <f t="shared" si="86"/>
        <v>342287.4401293933</v>
      </c>
      <c r="AF39" s="637">
        <f t="shared" si="86"/>
        <v>349133.18893198116</v>
      </c>
      <c r="AG39" s="637">
        <f t="shared" si="86"/>
        <v>356115.85271062079</v>
      </c>
      <c r="AH39" s="637">
        <f t="shared" si="86"/>
        <v>363238.16976483323</v>
      </c>
      <c r="AI39" s="637">
        <f t="shared" si="86"/>
        <v>370502.93316012993</v>
      </c>
      <c r="AJ39" s="638">
        <f>G39/$G$38</f>
        <v>0.52</v>
      </c>
      <c r="AK39" s="638">
        <f>H39/$H$38</f>
        <v>0.52145701224008267</v>
      </c>
      <c r="AL39" s="638">
        <f>N39/$N$38</f>
        <v>0.4919029567836497</v>
      </c>
      <c r="AM39" s="638">
        <f>S39/$S$38</f>
        <v>0.41350067673819452</v>
      </c>
      <c r="AN39" s="638">
        <f>X39/$X$38</f>
        <v>0.28778971569382777</v>
      </c>
      <c r="AO39" s="638">
        <f>AC39/$AC$38</f>
        <v>0.14979938985432684</v>
      </c>
      <c r="AP39" s="638">
        <f>AI39/$AI$38</f>
        <v>4.3007035264547473E-2</v>
      </c>
    </row>
    <row r="40" spans="2:42" x14ac:dyDescent="0.25">
      <c r="B40" s="548" t="s">
        <v>284</v>
      </c>
      <c r="C40" s="548" t="s">
        <v>286</v>
      </c>
      <c r="D40" s="548"/>
      <c r="E40" s="548"/>
      <c r="F40" s="548"/>
      <c r="G40" s="637">
        <f>G38*13%</f>
        <v>53201.86414500614</v>
      </c>
      <c r="H40" s="637">
        <f>$G40*H9</f>
        <v>54531.910748631286</v>
      </c>
      <c r="I40" s="637">
        <f>$G40*I9</f>
        <v>55895.20851734707</v>
      </c>
      <c r="J40" s="637">
        <f t="shared" ref="J40:AI40" si="87">$G40*J9</f>
        <v>57292.588730280746</v>
      </c>
      <c r="K40" s="637">
        <f t="shared" si="87"/>
        <v>58724.903448537756</v>
      </c>
      <c r="L40" s="637">
        <f t="shared" si="87"/>
        <v>60193.026034751201</v>
      </c>
      <c r="M40" s="637">
        <f t="shared" si="87"/>
        <v>61697.851685619971</v>
      </c>
      <c r="N40" s="637">
        <f t="shared" si="87"/>
        <v>63240.297977760463</v>
      </c>
      <c r="O40" s="637">
        <f t="shared" si="87"/>
        <v>64821.305427204468</v>
      </c>
      <c r="P40" s="637">
        <f t="shared" si="87"/>
        <v>66441.838062884577</v>
      </c>
      <c r="Q40" s="637">
        <f t="shared" si="87"/>
        <v>68102.884014456678</v>
      </c>
      <c r="R40" s="637">
        <f t="shared" si="87"/>
        <v>69805.456114818095</v>
      </c>
      <c r="S40" s="637">
        <f t="shared" si="87"/>
        <v>71550.592517688536</v>
      </c>
      <c r="T40" s="637">
        <f t="shared" si="87"/>
        <v>73339.357330630752</v>
      </c>
      <c r="U40" s="637">
        <f t="shared" si="87"/>
        <v>75172.841263896509</v>
      </c>
      <c r="V40" s="637">
        <f t="shared" si="87"/>
        <v>77052.162295493908</v>
      </c>
      <c r="W40" s="637">
        <f t="shared" si="87"/>
        <v>78978.466352881253</v>
      </c>
      <c r="X40" s="637">
        <f t="shared" si="87"/>
        <v>80952.928011703276</v>
      </c>
      <c r="Y40" s="637">
        <f t="shared" si="87"/>
        <v>82976.751211995856</v>
      </c>
      <c r="Z40" s="637">
        <f t="shared" si="87"/>
        <v>85051.169992295734</v>
      </c>
      <c r="AA40" s="637">
        <f t="shared" si="87"/>
        <v>87177.449242103117</v>
      </c>
      <c r="AB40" s="637">
        <f t="shared" si="87"/>
        <v>89356.885473155693</v>
      </c>
      <c r="AC40" s="637">
        <f t="shared" si="87"/>
        <v>91590.807609984564</v>
      </c>
      <c r="AD40" s="637">
        <f t="shared" si="87"/>
        <v>93880.577800234183</v>
      </c>
      <c r="AE40" s="637">
        <f t="shared" si="87"/>
        <v>96227.592245240026</v>
      </c>
      <c r="AF40" s="637">
        <f t="shared" si="87"/>
        <v>98633.282051371018</v>
      </c>
      <c r="AG40" s="637">
        <f t="shared" si="87"/>
        <v>101099.11410265528</v>
      </c>
      <c r="AH40" s="637">
        <f t="shared" si="87"/>
        <v>103626.59195522165</v>
      </c>
      <c r="AI40" s="637">
        <f t="shared" si="87"/>
        <v>106217.25675410219</v>
      </c>
      <c r="AJ40" s="638">
        <f t="shared" ref="AJ40:AJ41" si="88">G40/$G$38</f>
        <v>0.13</v>
      </c>
      <c r="AK40" s="638">
        <f t="shared" ref="AK40:AK41" si="89">H40/$H$38</f>
        <v>0.13100329351619722</v>
      </c>
      <c r="AL40" s="638">
        <f t="shared" ref="AL40" si="90">N40/$N$38</f>
        <v>0.12725805966409134</v>
      </c>
      <c r="AM40" s="638">
        <f t="shared" ref="AM40:AM41" si="91">S40/$S$38</f>
        <v>0.1096227157446933</v>
      </c>
      <c r="AN40" s="638">
        <f t="shared" ref="AN40:AN41" si="92">X40/$X$38</f>
        <v>7.818403326321495E-2</v>
      </c>
      <c r="AO40" s="638">
        <f t="shared" ref="AO40" si="93">AC40/$AC$38</f>
        <v>4.1703385533318746E-2</v>
      </c>
      <c r="AP40" s="638">
        <f t="shared" ref="AP40:AP41" si="94">AI40/$AI$38</f>
        <v>1.232942818553303E-2</v>
      </c>
    </row>
    <row r="41" spans="2:42" x14ac:dyDescent="0.25">
      <c r="B41" s="548" t="s">
        <v>285</v>
      </c>
      <c r="C41" s="548" t="s">
        <v>286</v>
      </c>
      <c r="D41" s="548"/>
      <c r="E41" s="548"/>
      <c r="F41" s="548"/>
      <c r="G41" s="637">
        <f>G38*35%</f>
        <v>143235.78808270881</v>
      </c>
      <c r="H41" s="637">
        <f>G41*H8</f>
        <v>144668.14596353591</v>
      </c>
      <c r="I41" s="637">
        <f>H41*I8</f>
        <v>147575.97569740299</v>
      </c>
      <c r="J41" s="637">
        <f t="shared" ref="J41:AI41" si="95">I41*J8</f>
        <v>152047.67533700998</v>
      </c>
      <c r="K41" s="637">
        <f t="shared" si="95"/>
        <v>158221.42066687069</v>
      </c>
      <c r="L41" s="637">
        <f t="shared" si="95"/>
        <v>166292.30326198094</v>
      </c>
      <c r="M41" s="637">
        <f t="shared" si="95"/>
        <v>176522.63080244514</v>
      </c>
      <c r="N41" s="637">
        <f t="shared" si="95"/>
        <v>189256.15293023523</v>
      </c>
      <c r="O41" s="637">
        <f t="shared" si="95"/>
        <v>204937.29428187863</v>
      </c>
      <c r="P41" s="637">
        <f t="shared" si="95"/>
        <v>224136.90057987155</v>
      </c>
      <c r="Q41" s="637">
        <f t="shared" si="95"/>
        <v>247586.57950161755</v>
      </c>
      <c r="R41" s="637">
        <f t="shared" si="95"/>
        <v>276224.50980909064</v>
      </c>
      <c r="S41" s="637">
        <f t="shared" si="95"/>
        <v>311256.69158881716</v>
      </c>
      <c r="T41" s="637">
        <f t="shared" si="95"/>
        <v>354239.14918712957</v>
      </c>
      <c r="U41" s="637">
        <f t="shared" si="95"/>
        <v>407188.76730984048</v>
      </c>
      <c r="V41" s="637">
        <f t="shared" si="95"/>
        <v>472733.51782210293</v>
      </c>
      <c r="W41" s="637">
        <f t="shared" si="95"/>
        <v>554317.22773785458</v>
      </c>
      <c r="X41" s="637">
        <f t="shared" si="95"/>
        <v>656480.34919630189</v>
      </c>
      <c r="Y41" s="637">
        <f t="shared" si="95"/>
        <v>785247.31252905692</v>
      </c>
      <c r="Z41" s="637">
        <f t="shared" si="95"/>
        <v>948664.30657808285</v>
      </c>
      <c r="AA41" s="637">
        <f t="shared" si="95"/>
        <v>1157550.7381407213</v>
      </c>
      <c r="AB41" s="637">
        <f t="shared" si="95"/>
        <v>1426556.2002278629</v>
      </c>
      <c r="AC41" s="637">
        <f t="shared" si="95"/>
        <v>1775657.127249632</v>
      </c>
      <c r="AD41" s="637">
        <f t="shared" si="95"/>
        <v>2232290.4736450505</v>
      </c>
      <c r="AE41" s="637">
        <f t="shared" si="95"/>
        <v>2834416.5599748404</v>
      </c>
      <c r="AF41" s="637">
        <f t="shared" si="95"/>
        <v>3634946.4837184199</v>
      </c>
      <c r="AG41" s="637">
        <f t="shared" si="95"/>
        <v>4708187.3876048522</v>
      </c>
      <c r="AH41" s="637">
        <f t="shared" si="95"/>
        <v>6159292.5403035311</v>
      </c>
      <c r="AI41" s="637">
        <f t="shared" si="95"/>
        <v>8138217.5959868394</v>
      </c>
      <c r="AJ41" s="638">
        <f t="shared" si="88"/>
        <v>0.35</v>
      </c>
      <c r="AK41" s="638">
        <f t="shared" si="89"/>
        <v>0.34753969424372022</v>
      </c>
      <c r="AL41" s="638">
        <f>N41/$N$38</f>
        <v>0.38083898355225893</v>
      </c>
      <c r="AM41" s="638">
        <f t="shared" si="91"/>
        <v>0.47687660751711208</v>
      </c>
      <c r="AN41" s="638">
        <f t="shared" si="92"/>
        <v>0.63402625104295729</v>
      </c>
      <c r="AO41" s="638">
        <f>AC41/$AC$38</f>
        <v>0.80849722461235429</v>
      </c>
      <c r="AP41" s="638">
        <f t="shared" si="94"/>
        <v>0.94466353654991952</v>
      </c>
    </row>
    <row r="42" spans="2:42" x14ac:dyDescent="0.25">
      <c r="B42" s="548"/>
      <c r="C42" s="548"/>
      <c r="D42" s="548"/>
      <c r="E42" s="548"/>
      <c r="F42" s="548"/>
      <c r="G42" s="548"/>
      <c r="H42" s="548"/>
      <c r="I42" s="548"/>
      <c r="J42" s="548"/>
      <c r="K42" s="548"/>
      <c r="L42" s="548"/>
      <c r="M42" s="548"/>
      <c r="N42" s="548"/>
      <c r="O42" s="548"/>
      <c r="P42" s="548"/>
      <c r="Q42" s="548"/>
      <c r="R42" s="548"/>
      <c r="S42" s="548"/>
      <c r="T42" s="548"/>
      <c r="U42" s="548"/>
      <c r="V42" s="548"/>
      <c r="W42" s="548"/>
      <c r="X42" s="548"/>
      <c r="Y42" s="548"/>
      <c r="Z42" s="548"/>
      <c r="AA42" s="548"/>
      <c r="AB42" s="548"/>
      <c r="AC42" s="548"/>
      <c r="AD42" s="548"/>
      <c r="AE42" s="548"/>
      <c r="AF42" s="548"/>
      <c r="AG42" s="548"/>
      <c r="AH42" s="548"/>
      <c r="AI42" s="548"/>
    </row>
    <row r="43" spans="2:42" x14ac:dyDescent="0.25">
      <c r="B43" s="634" t="s">
        <v>287</v>
      </c>
      <c r="C43" s="548" t="s">
        <v>288</v>
      </c>
      <c r="D43" s="548"/>
      <c r="E43" s="548"/>
      <c r="F43" s="548"/>
      <c r="G43" s="617">
        <f>((0.7*(0.204*$G$54^0.9008+0.32*$G$54^0.6961)+0.7*(0.007*117005.5*1000))/G54)*1</f>
        <v>0.11363267242829882</v>
      </c>
      <c r="H43" s="618">
        <f>SUM(H44:H46)</f>
        <v>0.30736654435442295</v>
      </c>
      <c r="I43" s="618">
        <f t="shared" ref="I43:AI43" si="96">SUM(I44:I46)</f>
        <v>0.31457334737593562</v>
      </c>
      <c r="J43" s="618">
        <f t="shared" si="96"/>
        <v>0.36812018066820562</v>
      </c>
      <c r="K43" s="618">
        <f t="shared" si="96"/>
        <v>0.40964340710131497</v>
      </c>
      <c r="L43" s="618">
        <f t="shared" si="96"/>
        <v>0.3461067229367828</v>
      </c>
      <c r="M43" s="618">
        <f t="shared" si="96"/>
        <v>0.35310309050619437</v>
      </c>
      <c r="N43" s="618">
        <f t="shared" si="96"/>
        <v>0.36024751128150012</v>
      </c>
      <c r="O43" s="618">
        <f t="shared" si="96"/>
        <v>0.36754321217344782</v>
      </c>
      <c r="P43" s="618">
        <f t="shared" si="96"/>
        <v>0.37499349190416881</v>
      </c>
      <c r="Q43" s="618">
        <f t="shared" si="96"/>
        <v>0.38260172263150477</v>
      </c>
      <c r="R43" s="618">
        <f t="shared" si="96"/>
        <v>0.390371351610586</v>
      </c>
      <c r="S43" s="618">
        <f t="shared" si="96"/>
        <v>0.39830590289352724</v>
      </c>
      <c r="T43" s="618">
        <f t="shared" si="96"/>
        <v>0.40640897906812373</v>
      </c>
      <c r="U43" s="618">
        <f t="shared" si="96"/>
        <v>0.41468426303645584</v>
      </c>
      <c r="V43" s="618">
        <f t="shared" si="96"/>
        <v>0.42313551983432746</v>
      </c>
      <c r="W43" s="618">
        <f t="shared" si="96"/>
        <v>0.43176659849248888</v>
      </c>
      <c r="X43" s="618">
        <f t="shared" si="96"/>
        <v>0.44058143394061305</v>
      </c>
      <c r="Y43" s="618">
        <f t="shared" si="96"/>
        <v>0.44958404895502208</v>
      </c>
      <c r="Z43" s="618">
        <f t="shared" si="96"/>
        <v>0.45877855615117813</v>
      </c>
      <c r="AA43" s="618">
        <f t="shared" si="96"/>
        <v>0.46816916002198361</v>
      </c>
      <c r="AB43" s="618">
        <f t="shared" si="96"/>
        <v>0.47776015902295238</v>
      </c>
      <c r="AC43" s="618">
        <f t="shared" si="96"/>
        <v>0.48755594770534694</v>
      </c>
      <c r="AD43" s="618">
        <f t="shared" si="96"/>
        <v>0.49756101889839505</v>
      </c>
      <c r="AE43" s="618">
        <f t="shared" si="96"/>
        <v>0.50777996594172936</v>
      </c>
      <c r="AF43" s="618">
        <f t="shared" si="96"/>
        <v>0.51821748496922082</v>
      </c>
      <c r="AG43" s="618">
        <f t="shared" si="96"/>
        <v>0.52887837724540132</v>
      </c>
      <c r="AH43" s="618">
        <f t="shared" si="96"/>
        <v>0.53976755155570255</v>
      </c>
      <c r="AI43" s="618">
        <f t="shared" si="96"/>
        <v>0.55089002665176334</v>
      </c>
    </row>
    <row r="44" spans="2:42" x14ac:dyDescent="0.25">
      <c r="B44" s="548" t="s">
        <v>289</v>
      </c>
      <c r="C44" s="548" t="s">
        <v>288</v>
      </c>
      <c r="D44" s="548"/>
      <c r="E44" s="548"/>
      <c r="F44" s="548"/>
      <c r="G44" s="617">
        <v>0.18645335144491043</v>
      </c>
      <c r="H44" s="617">
        <v>0.18321021374705204</v>
      </c>
      <c r="I44" s="619">
        <v>0.21165281347041195</v>
      </c>
      <c r="J44" s="619">
        <v>0.24833624943101804</v>
      </c>
      <c r="K44" s="619">
        <v>0.28659812562334913</v>
      </c>
      <c r="L44" s="619">
        <f t="shared" ref="L44:AI44" si="97">$G44*L7</f>
        <v>0.20585956602262859</v>
      </c>
      <c r="M44" s="619">
        <f t="shared" si="97"/>
        <v>0.20997675734308116</v>
      </c>
      <c r="N44" s="617">
        <f t="shared" si="97"/>
        <v>0.2141762924899428</v>
      </c>
      <c r="O44" s="617">
        <f t="shared" si="97"/>
        <v>0.21845981833974168</v>
      </c>
      <c r="P44" s="617">
        <f t="shared" si="97"/>
        <v>0.22282901470653649</v>
      </c>
      <c r="Q44" s="617">
        <f t="shared" si="97"/>
        <v>0.22728559500066725</v>
      </c>
      <c r="R44" s="617">
        <f t="shared" si="97"/>
        <v>0.23183130690068057</v>
      </c>
      <c r="S44" s="617">
        <f t="shared" si="97"/>
        <v>0.23646793303869418</v>
      </c>
      <c r="T44" s="617">
        <f t="shared" si="97"/>
        <v>0.24119729169946805</v>
      </c>
      <c r="U44" s="617">
        <f t="shared" si="97"/>
        <v>0.24602123753345745</v>
      </c>
      <c r="V44" s="617">
        <f t="shared" si="97"/>
        <v>0.25094166228412662</v>
      </c>
      <c r="W44" s="617">
        <f t="shared" si="97"/>
        <v>0.25596049552980915</v>
      </c>
      <c r="X44" s="617">
        <f t="shared" si="97"/>
        <v>0.26107970544040532</v>
      </c>
      <c r="Y44" s="617">
        <f t="shared" si="97"/>
        <v>0.26630129954921344</v>
      </c>
      <c r="Z44" s="617">
        <f t="shared" si="97"/>
        <v>0.27162732554019769</v>
      </c>
      <c r="AA44" s="617">
        <f t="shared" si="97"/>
        <v>0.27705987205100169</v>
      </c>
      <c r="AB44" s="617">
        <f t="shared" si="97"/>
        <v>0.28260106949202174</v>
      </c>
      <c r="AC44" s="617">
        <f t="shared" si="97"/>
        <v>0.28825309088186218</v>
      </c>
      <c r="AD44" s="617">
        <f t="shared" si="97"/>
        <v>0.29401815269949944</v>
      </c>
      <c r="AE44" s="617">
        <f t="shared" si="97"/>
        <v>0.29989851575348941</v>
      </c>
      <c r="AF44" s="617">
        <f t="shared" si="97"/>
        <v>0.30589648606855918</v>
      </c>
      <c r="AG44" s="617">
        <f t="shared" si="97"/>
        <v>0.31201441578993039</v>
      </c>
      <c r="AH44" s="617">
        <f t="shared" si="97"/>
        <v>0.31825470410572898</v>
      </c>
      <c r="AI44" s="617">
        <f t="shared" si="97"/>
        <v>0.32461979818784359</v>
      </c>
    </row>
    <row r="45" spans="2:42" x14ac:dyDescent="0.25">
      <c r="B45" s="548" t="s">
        <v>290</v>
      </c>
      <c r="C45" s="548" t="s">
        <v>288</v>
      </c>
      <c r="D45" s="548"/>
      <c r="E45" s="548"/>
      <c r="F45" s="548"/>
      <c r="G45" s="617">
        <v>8.7012784185984252E-2</v>
      </c>
      <c r="H45" s="617">
        <v>8.3987180903967298E-2</v>
      </c>
      <c r="I45" s="619">
        <v>6.234969270508596E-2</v>
      </c>
      <c r="J45" s="619">
        <v>7.8807381624745515E-2</v>
      </c>
      <c r="K45" s="619">
        <v>8.1658966369399372E-2</v>
      </c>
      <c r="L45" s="619">
        <f t="shared" ref="L45:AI45" si="98">$G45*L9</f>
        <v>9.8446978654502054E-2</v>
      </c>
      <c r="M45" s="619">
        <f t="shared" si="98"/>
        <v>0.1009081531208646</v>
      </c>
      <c r="N45" s="617">
        <f t="shared" si="98"/>
        <v>0.10343085694888619</v>
      </c>
      <c r="O45" s="617">
        <f t="shared" si="98"/>
        <v>0.10601662837260833</v>
      </c>
      <c r="P45" s="617">
        <f t="shared" si="98"/>
        <v>0.10866704408192353</v>
      </c>
      <c r="Q45" s="617">
        <f t="shared" si="98"/>
        <v>0.11138372018397159</v>
      </c>
      <c r="R45" s="617">
        <f t="shared" si="98"/>
        <v>0.11416831318857089</v>
      </c>
      <c r="S45" s="617">
        <f t="shared" si="98"/>
        <v>0.11702252101828516</v>
      </c>
      <c r="T45" s="617">
        <f t="shared" si="98"/>
        <v>0.11994808404374227</v>
      </c>
      <c r="U45" s="617">
        <f t="shared" si="98"/>
        <v>0.12294678614483583</v>
      </c>
      <c r="V45" s="617">
        <f t="shared" si="98"/>
        <v>0.12602045579845669</v>
      </c>
      <c r="W45" s="617">
        <f t="shared" si="98"/>
        <v>0.12917096719341811</v>
      </c>
      <c r="X45" s="617">
        <f t="shared" si="98"/>
        <v>0.13240024137325354</v>
      </c>
      <c r="Y45" s="617">
        <f t="shared" si="98"/>
        <v>0.13571024740758486</v>
      </c>
      <c r="Z45" s="617">
        <f t="shared" si="98"/>
        <v>0.13910300359277447</v>
      </c>
      <c r="AA45" s="617">
        <f t="shared" si="98"/>
        <v>0.14258057868259383</v>
      </c>
      <c r="AB45" s="617">
        <f t="shared" si="98"/>
        <v>0.14614509314965865</v>
      </c>
      <c r="AC45" s="617">
        <f t="shared" si="98"/>
        <v>0.14979872047840009</v>
      </c>
      <c r="AD45" s="617">
        <f t="shared" si="98"/>
        <v>0.1535436884903601</v>
      </c>
      <c r="AE45" s="617">
        <f t="shared" si="98"/>
        <v>0.15738228070261909</v>
      </c>
      <c r="AF45" s="617">
        <f t="shared" si="98"/>
        <v>0.16131683772018454</v>
      </c>
      <c r="AG45" s="617">
        <f t="shared" si="98"/>
        <v>0.16534975866318916</v>
      </c>
      <c r="AH45" s="617">
        <f t="shared" si="98"/>
        <v>0.16948350262976886</v>
      </c>
      <c r="AI45" s="617">
        <f t="shared" si="98"/>
        <v>0.17372059019551306</v>
      </c>
    </row>
    <row r="46" spans="2:42" x14ac:dyDescent="0.25">
      <c r="B46" s="548" t="s">
        <v>291</v>
      </c>
      <c r="C46" s="548" t="s">
        <v>288</v>
      </c>
      <c r="D46" s="548"/>
      <c r="E46" s="548"/>
      <c r="F46" s="548"/>
      <c r="G46" s="617">
        <f>G43*35%</f>
        <v>3.9771435349904585E-2</v>
      </c>
      <c r="H46" s="617">
        <f>$G46*H8</f>
        <v>4.0169149703403628E-2</v>
      </c>
      <c r="I46" s="619">
        <f t="shared" ref="I46:AI46" si="99">$G46*I8</f>
        <v>4.057084120043767E-2</v>
      </c>
      <c r="J46" s="619">
        <f t="shared" si="99"/>
        <v>4.0976549612442043E-2</v>
      </c>
      <c r="K46" s="619">
        <f t="shared" si="99"/>
        <v>4.1386315108566468E-2</v>
      </c>
      <c r="L46" s="619">
        <f t="shared" si="99"/>
        <v>4.1800178259652127E-2</v>
      </c>
      <c r="M46" s="619">
        <f t="shared" si="99"/>
        <v>4.221818004224865E-2</v>
      </c>
      <c r="N46" s="617">
        <f t="shared" si="99"/>
        <v>4.2640361842671129E-2</v>
      </c>
      <c r="O46" s="617">
        <f t="shared" si="99"/>
        <v>4.3066765461097847E-2</v>
      </c>
      <c r="P46" s="617">
        <f t="shared" si="99"/>
        <v>4.3497433115708826E-2</v>
      </c>
      <c r="Q46" s="617">
        <f t="shared" si="99"/>
        <v>4.3932407446865919E-2</v>
      </c>
      <c r="R46" s="617">
        <f t="shared" si="99"/>
        <v>4.4371731521334577E-2</v>
      </c>
      <c r="S46" s="617">
        <f t="shared" si="99"/>
        <v>4.4815448836547922E-2</v>
      </c>
      <c r="T46" s="617">
        <f t="shared" si="99"/>
        <v>4.5263603324913401E-2</v>
      </c>
      <c r="U46" s="617">
        <f t="shared" si="99"/>
        <v>4.5716239358162533E-2</v>
      </c>
      <c r="V46" s="617">
        <f t="shared" si="99"/>
        <v>4.6173401751744163E-2</v>
      </c>
      <c r="W46" s="617">
        <f t="shared" si="99"/>
        <v>4.66351357692616E-2</v>
      </c>
      <c r="X46" s="617">
        <f t="shared" si="99"/>
        <v>4.7101487126954222E-2</v>
      </c>
      <c r="Y46" s="617">
        <f t="shared" si="99"/>
        <v>4.7572501998223764E-2</v>
      </c>
      <c r="Z46" s="617">
        <f t="shared" si="99"/>
        <v>4.8048227018205998E-2</v>
      </c>
      <c r="AA46" s="617">
        <f t="shared" si="99"/>
        <v>4.8528709288388067E-2</v>
      </c>
      <c r="AB46" s="617">
        <f t="shared" si="99"/>
        <v>4.9013996381271949E-2</v>
      </c>
      <c r="AC46" s="617">
        <f t="shared" si="99"/>
        <v>4.9504136345084673E-2</v>
      </c>
      <c r="AD46" s="617">
        <f t="shared" si="99"/>
        <v>4.9999177708535521E-2</v>
      </c>
      <c r="AE46" s="617">
        <f t="shared" si="99"/>
        <v>5.049916948562088E-2</v>
      </c>
      <c r="AF46" s="617">
        <f t="shared" si="99"/>
        <v>5.1004161180477084E-2</v>
      </c>
      <c r="AG46" s="617">
        <f t="shared" si="99"/>
        <v>5.1514202792281853E-2</v>
      </c>
      <c r="AH46" s="617">
        <f t="shared" si="99"/>
        <v>5.2029344820204673E-2</v>
      </c>
      <c r="AI46" s="617">
        <f t="shared" si="99"/>
        <v>5.2549638268406723E-2</v>
      </c>
    </row>
    <row r="47" spans="2:42" x14ac:dyDescent="0.25">
      <c r="B47" s="548"/>
      <c r="C47" s="548"/>
      <c r="D47" s="548"/>
      <c r="E47" s="548"/>
      <c r="F47" s="548"/>
      <c r="G47" s="548"/>
      <c r="H47" s="548"/>
      <c r="I47" s="548"/>
      <c r="J47" s="548"/>
      <c r="K47" s="548"/>
      <c r="L47" s="548"/>
      <c r="M47" s="548"/>
      <c r="N47" s="548"/>
      <c r="O47" s="548"/>
      <c r="P47" s="548"/>
      <c r="Q47" s="548"/>
      <c r="R47" s="548"/>
      <c r="S47" s="548"/>
      <c r="T47" s="548"/>
      <c r="U47" s="548"/>
      <c r="V47" s="548"/>
      <c r="W47" s="548"/>
      <c r="X47" s="548"/>
      <c r="Y47" s="548"/>
      <c r="Z47" s="548"/>
      <c r="AA47" s="548"/>
      <c r="AB47" s="548"/>
      <c r="AC47" s="548"/>
      <c r="AD47" s="548"/>
      <c r="AE47" s="548"/>
      <c r="AF47" s="548"/>
      <c r="AG47" s="548"/>
      <c r="AH47" s="548"/>
      <c r="AI47" s="548"/>
    </row>
    <row r="48" spans="2:42" x14ac:dyDescent="0.25">
      <c r="B48" s="634" t="s">
        <v>287</v>
      </c>
      <c r="C48" s="548" t="s">
        <v>286</v>
      </c>
      <c r="D48" s="548"/>
      <c r="E48" s="548"/>
      <c r="F48" s="548"/>
      <c r="G48" s="636">
        <f>SUM(G49:G51)</f>
        <v>2193560.7357440256</v>
      </c>
      <c r="H48" s="636">
        <f t="shared" ref="H48" si="100">SUM(H49:H51)</f>
        <v>1812101.5926326942</v>
      </c>
      <c r="I48" s="636">
        <f>SUM(I49:I51)</f>
        <v>1778531.9602339382</v>
      </c>
      <c r="J48" s="636">
        <f t="shared" ref="J48:AI48" si="101">SUM(J49:J51)</f>
        <v>1765452.8496594205</v>
      </c>
      <c r="K48" s="636">
        <f t="shared" si="101"/>
        <v>2096889.2265647245</v>
      </c>
      <c r="L48" s="636">
        <f t="shared" si="101"/>
        <v>2003379.9234976368</v>
      </c>
      <c r="M48" s="636">
        <f t="shared" si="101"/>
        <v>2104554.4357031062</v>
      </c>
      <c r="N48" s="636">
        <f t="shared" si="101"/>
        <v>2210639.4169539092</v>
      </c>
      <c r="O48" s="636">
        <f t="shared" si="101"/>
        <v>2319543.92326691</v>
      </c>
      <c r="P48" s="636">
        <f t="shared" si="101"/>
        <v>2431017.2646452533</v>
      </c>
      <c r="Q48" s="636">
        <f t="shared" si="101"/>
        <v>4018763.4821707341</v>
      </c>
      <c r="R48" s="636">
        <f t="shared" si="101"/>
        <v>4093746.3812168064</v>
      </c>
      <c r="S48" s="636">
        <f t="shared" si="101"/>
        <v>4170131.8352303007</v>
      </c>
      <c r="T48" s="636">
        <f t="shared" si="101"/>
        <v>4247946.4859503452</v>
      </c>
      <c r="U48" s="636">
        <f t="shared" si="101"/>
        <v>4327217.4879620653</v>
      </c>
      <c r="V48" s="636">
        <f t="shared" si="101"/>
        <v>4407972.518721113</v>
      </c>
      <c r="W48" s="636">
        <f t="shared" si="101"/>
        <v>4490239.7887777584</v>
      </c>
      <c r="X48" s="636">
        <f t="shared" si="101"/>
        <v>4577390.1766627077</v>
      </c>
      <c r="Y48" s="636">
        <f t="shared" si="101"/>
        <v>4653973.7836170672</v>
      </c>
      <c r="Z48" s="636">
        <f t="shared" si="101"/>
        <v>4731941.7708765678</v>
      </c>
      <c r="AA48" s="636">
        <f t="shared" si="101"/>
        <v>4811320.2368870024</v>
      </c>
      <c r="AB48" s="636">
        <f t="shared" si="101"/>
        <v>4892135.7874232288</v>
      </c>
      <c r="AC48" s="636">
        <f t="shared" si="101"/>
        <v>4974415.5457064137</v>
      </c>
      <c r="AD48" s="636">
        <f t="shared" si="101"/>
        <v>5058187.1627277657</v>
      </c>
      <c r="AE48" s="636">
        <f t="shared" si="101"/>
        <v>5143478.8277830444</v>
      </c>
      <c r="AF48" s="636">
        <f t="shared" si="101"/>
        <v>5230319.2792222444</v>
      </c>
      <c r="AG48" s="636">
        <f t="shared" si="101"/>
        <v>5318737.8154189903</v>
      </c>
      <c r="AH48" s="636">
        <f t="shared" si="101"/>
        <v>5417748.0415995698</v>
      </c>
      <c r="AI48" s="636">
        <f t="shared" si="101"/>
        <v>5518735.5365959685</v>
      </c>
    </row>
    <row r="49" spans="2:42" x14ac:dyDescent="0.25">
      <c r="B49" s="548" t="s">
        <v>289</v>
      </c>
      <c r="C49" s="548" t="s">
        <v>286</v>
      </c>
      <c r="D49" s="548"/>
      <c r="E49" s="548"/>
      <c r="F49" s="548"/>
      <c r="G49" s="637">
        <f>G44*G$54</f>
        <v>1305707.8354196141</v>
      </c>
      <c r="H49" s="639">
        <f>H44*H$54</f>
        <v>1080129.0062811351</v>
      </c>
      <c r="I49" s="639">
        <f>I44*I$54</f>
        <v>1196640.7719236938</v>
      </c>
      <c r="J49" s="639">
        <f t="shared" ref="I49:AI51" si="102">J44*J$54</f>
        <v>1190985.8851962422</v>
      </c>
      <c r="K49" s="639">
        <f t="shared" si="102"/>
        <v>1467043.0710108094</v>
      </c>
      <c r="L49" s="639">
        <f t="shared" si="102"/>
        <v>1191583.0993696097</v>
      </c>
      <c r="M49" s="639">
        <f>M44*M$54</f>
        <v>1251497.1631299953</v>
      </c>
      <c r="N49" s="639">
        <f t="shared" si="102"/>
        <v>1314281.2636541624</v>
      </c>
      <c r="O49" s="639">
        <f t="shared" si="102"/>
        <v>1378687.259959002</v>
      </c>
      <c r="P49" s="639">
        <f t="shared" si="102"/>
        <v>1444561.5550947087</v>
      </c>
      <c r="Q49" s="639">
        <f t="shared" si="102"/>
        <v>2387357.3880686848</v>
      </c>
      <c r="R49" s="639">
        <f t="shared" si="102"/>
        <v>2431168.6033358178</v>
      </c>
      <c r="S49" s="639">
        <f t="shared" si="102"/>
        <v>2475741.5052404199</v>
      </c>
      <c r="T49" s="639">
        <f t="shared" si="102"/>
        <v>2521088.9534105244</v>
      </c>
      <c r="U49" s="639">
        <f t="shared" si="102"/>
        <v>2567224.0216438021</v>
      </c>
      <c r="V49" s="639">
        <f t="shared" si="102"/>
        <v>2614160.0014664782</v>
      </c>
      <c r="W49" s="639">
        <f t="shared" si="102"/>
        <v>2661910.4057518118</v>
      </c>
      <c r="X49" s="639">
        <f t="shared" si="102"/>
        <v>2712469.448201918</v>
      </c>
      <c r="Y49" s="639">
        <f t="shared" si="102"/>
        <v>2756679.8010869478</v>
      </c>
      <c r="Z49" s="639">
        <f t="shared" si="102"/>
        <v>2801623.2899333793</v>
      </c>
      <c r="AA49" s="639">
        <f t="shared" si="102"/>
        <v>2847312.2175875786</v>
      </c>
      <c r="AB49" s="639">
        <f t="shared" si="102"/>
        <v>2893759.0954702855</v>
      </c>
      <c r="AC49" s="639">
        <f t="shared" si="102"/>
        <v>2940976.6471503014</v>
      </c>
      <c r="AD49" s="639">
        <f t="shared" si="102"/>
        <v>2988977.8119801525</v>
      </c>
      <c r="AE49" s="639">
        <f t="shared" si="102"/>
        <v>3037775.748794795</v>
      </c>
      <c r="AF49" s="639">
        <f t="shared" si="102"/>
        <v>3087383.8396744775</v>
      </c>
      <c r="AG49" s="639">
        <f t="shared" si="102"/>
        <v>3137815.6937729041</v>
      </c>
      <c r="AH49" s="639">
        <f t="shared" si="102"/>
        <v>3194382.0908262371</v>
      </c>
      <c r="AI49" s="639">
        <f t="shared" si="102"/>
        <v>3251993.5549211302</v>
      </c>
      <c r="AJ49" s="638">
        <f>G49/G48</f>
        <v>0.59524580931046611</v>
      </c>
      <c r="AK49" s="638">
        <f>H49/H48</f>
        <v>0.59606426630412057</v>
      </c>
      <c r="AL49" s="640">
        <f>N49/N48</f>
        <v>0.59452539096816648</v>
      </c>
      <c r="AM49" s="616">
        <f>S49/$S$48</f>
        <v>0.59368422943484567</v>
      </c>
      <c r="AN49" s="616">
        <f>X49/$X$48</f>
        <v>0.59257990765810797</v>
      </c>
      <c r="AO49" s="616">
        <f>AC49/$AC$48</f>
        <v>0.59122054040876371</v>
      </c>
      <c r="AP49" s="616">
        <f>AI49/$AI$48</f>
        <v>0.58926424963769952</v>
      </c>
    </row>
    <row r="50" spans="2:42" x14ac:dyDescent="0.25">
      <c r="B50" s="548" t="s">
        <v>290</v>
      </c>
      <c r="C50" s="548" t="s">
        <v>286</v>
      </c>
      <c r="D50" s="548"/>
      <c r="E50" s="548"/>
      <c r="F50" s="548"/>
      <c r="G50" s="637">
        <f>G45*G$54</f>
        <v>609338.86794136674</v>
      </c>
      <c r="H50" s="639">
        <f t="shared" ref="H50:H51" si="103">H45*H$54</f>
        <v>495152.4720963643</v>
      </c>
      <c r="I50" s="639">
        <f t="shared" si="102"/>
        <v>352512.13146878063</v>
      </c>
      <c r="J50" s="639">
        <f t="shared" si="102"/>
        <v>377949.16923885205</v>
      </c>
      <c r="K50" s="639">
        <f t="shared" si="102"/>
        <v>417997.22359514341</v>
      </c>
      <c r="L50" s="639">
        <f t="shared" si="102"/>
        <v>569843.59879496985</v>
      </c>
      <c r="M50" s="639">
        <f t="shared" si="102"/>
        <v>601429.74377449788</v>
      </c>
      <c r="N50" s="639">
        <f t="shared" si="102"/>
        <v>634697.8733792319</v>
      </c>
      <c r="O50" s="639">
        <f t="shared" si="102"/>
        <v>669064.80098694388</v>
      </c>
      <c r="P50" s="639">
        <f t="shared" si="102"/>
        <v>704469.45337556151</v>
      </c>
      <c r="Q50" s="639">
        <f t="shared" si="102"/>
        <v>1169949.8478599098</v>
      </c>
      <c r="R50" s="639">
        <f t="shared" si="102"/>
        <v>1197260.2934028031</v>
      </c>
      <c r="S50" s="639">
        <f t="shared" si="102"/>
        <v>1225187.3165628354</v>
      </c>
      <c r="T50" s="639">
        <f t="shared" si="102"/>
        <v>1253744.548849355</v>
      </c>
      <c r="U50" s="639">
        <f t="shared" si="102"/>
        <v>1282945.9193822721</v>
      </c>
      <c r="V50" s="639">
        <f t="shared" si="102"/>
        <v>1312805.6613488786</v>
      </c>
      <c r="W50" s="639">
        <f t="shared" si="102"/>
        <v>1343338.318600582</v>
      </c>
      <c r="X50" s="639">
        <f t="shared" si="102"/>
        <v>1375563.1026689894</v>
      </c>
      <c r="Y50" s="639">
        <f t="shared" si="102"/>
        <v>1404836.1703915179</v>
      </c>
      <c r="Z50" s="639">
        <f t="shared" si="102"/>
        <v>1434738.621345113</v>
      </c>
      <c r="AA50" s="639">
        <f t="shared" si="102"/>
        <v>1465284.0942586032</v>
      </c>
      <c r="AB50" s="639">
        <f t="shared" si="102"/>
        <v>1496486.5254061474</v>
      </c>
      <c r="AC50" s="639">
        <f t="shared" si="102"/>
        <v>1528360.1551406344</v>
      </c>
      <c r="AD50" s="639">
        <f t="shared" si="102"/>
        <v>1560919.5345715128</v>
      </c>
      <c r="AE50" s="639">
        <f t="shared" si="102"/>
        <v>1594179.5323902618</v>
      </c>
      <c r="AF50" s="639">
        <f t="shared" si="102"/>
        <v>1628155.3418467937</v>
      </c>
      <c r="AG50" s="639">
        <f t="shared" si="102"/>
        <v>1662862.4878801564</v>
      </c>
      <c r="AH50" s="639">
        <f t="shared" si="102"/>
        <v>1701137.6690010387</v>
      </c>
      <c r="AI50" s="639">
        <f t="shared" si="102"/>
        <v>1740307.4083177075</v>
      </c>
      <c r="AJ50" s="638">
        <f>G50/G48</f>
        <v>0.27778527305499356</v>
      </c>
      <c r="AK50" s="638">
        <f>H50/H48</f>
        <v>0.27324763363680227</v>
      </c>
      <c r="AL50" s="616">
        <f>H50/H48</f>
        <v>0.27324763363680227</v>
      </c>
      <c r="AM50" s="616">
        <f t="shared" ref="AM50:AM51" si="104">S50/$S$48</f>
        <v>0.29380061949412517</v>
      </c>
      <c r="AN50" s="616">
        <f t="shared" ref="AN50:AN51" si="105">X50/$X$48</f>
        <v>0.30051252997442479</v>
      </c>
      <c r="AO50" s="616">
        <f t="shared" ref="AO50:AO51" si="106">AC50/$AC$48</f>
        <v>0.30724416589197373</v>
      </c>
      <c r="AP50" s="616">
        <f t="shared" ref="AP50:AP51" si="107">AI50/$AI$48</f>
        <v>0.31534531719763342</v>
      </c>
    </row>
    <row r="51" spans="2:42" x14ac:dyDescent="0.25">
      <c r="B51" s="548" t="s">
        <v>291</v>
      </c>
      <c r="C51" s="548" t="s">
        <v>286</v>
      </c>
      <c r="D51" s="548"/>
      <c r="E51" s="548"/>
      <c r="F51" s="548"/>
      <c r="G51" s="637">
        <f>G46*G$54</f>
        <v>278514.03238304495</v>
      </c>
      <c r="H51" s="639">
        <f t="shared" si="103"/>
        <v>236820.11425519473</v>
      </c>
      <c r="I51" s="639">
        <f t="shared" si="102"/>
        <v>229379.05684146369</v>
      </c>
      <c r="J51" s="639">
        <f t="shared" si="102"/>
        <v>196517.79522432628</v>
      </c>
      <c r="K51" s="639">
        <f t="shared" si="102"/>
        <v>211848.93195877178</v>
      </c>
      <c r="L51" s="639">
        <f t="shared" si="102"/>
        <v>241953.2253330574</v>
      </c>
      <c r="M51" s="639">
        <f t="shared" si="102"/>
        <v>251627.5287986132</v>
      </c>
      <c r="N51" s="639">
        <f t="shared" si="102"/>
        <v>261660.27992051505</v>
      </c>
      <c r="O51" s="639">
        <f t="shared" si="102"/>
        <v>271791.86232096446</v>
      </c>
      <c r="P51" s="639">
        <f t="shared" si="102"/>
        <v>281986.25617498287</v>
      </c>
      <c r="Q51" s="639">
        <f t="shared" si="102"/>
        <v>461456.24624213937</v>
      </c>
      <c r="R51" s="639">
        <f t="shared" si="102"/>
        <v>465317.48447818536</v>
      </c>
      <c r="S51" s="639">
        <f t="shared" si="102"/>
        <v>469203.01342704572</v>
      </c>
      <c r="T51" s="639">
        <f t="shared" si="102"/>
        <v>473112.98369046627</v>
      </c>
      <c r="U51" s="639">
        <f t="shared" si="102"/>
        <v>477047.54693599121</v>
      </c>
      <c r="V51" s="639">
        <f t="shared" si="102"/>
        <v>481006.85590575612</v>
      </c>
      <c r="W51" s="639">
        <f t="shared" si="102"/>
        <v>484991.06442536484</v>
      </c>
      <c r="X51" s="639">
        <f t="shared" si="102"/>
        <v>489357.62579180009</v>
      </c>
      <c r="Y51" s="639">
        <f t="shared" si="102"/>
        <v>492457.81213860115</v>
      </c>
      <c r="Z51" s="639">
        <f t="shared" si="102"/>
        <v>495579.85959807638</v>
      </c>
      <c r="AA51" s="639">
        <f t="shared" si="102"/>
        <v>498723.92504082073</v>
      </c>
      <c r="AB51" s="639">
        <f t="shared" si="102"/>
        <v>501890.16654679563</v>
      </c>
      <c r="AC51" s="639">
        <f t="shared" si="102"/>
        <v>505078.74341547786</v>
      </c>
      <c r="AD51" s="639">
        <f t="shared" si="102"/>
        <v>508289.81617610087</v>
      </c>
      <c r="AE51" s="639">
        <f t="shared" si="102"/>
        <v>511523.54659798718</v>
      </c>
      <c r="AF51" s="639">
        <f t="shared" si="102"/>
        <v>514780.09770097316</v>
      </c>
      <c r="AG51" s="639">
        <f t="shared" si="102"/>
        <v>518059.63376593008</v>
      </c>
      <c r="AH51" s="639">
        <f t="shared" si="102"/>
        <v>522228.28177229391</v>
      </c>
      <c r="AI51" s="639">
        <f t="shared" si="102"/>
        <v>526434.5733571311</v>
      </c>
      <c r="AJ51" s="638">
        <f>G51/G48</f>
        <v>0.12696891763454038</v>
      </c>
      <c r="AK51" s="638">
        <f>H51/H48</f>
        <v>0.13068810005907722</v>
      </c>
      <c r="AL51" s="616">
        <f>H51/H48</f>
        <v>0.13068810005907722</v>
      </c>
      <c r="AM51" s="616">
        <f t="shared" si="104"/>
        <v>0.11251515107102925</v>
      </c>
      <c r="AN51" s="616">
        <f t="shared" si="105"/>
        <v>0.10690756236746719</v>
      </c>
      <c r="AO51" s="616">
        <f t="shared" si="106"/>
        <v>0.10153529369926251</v>
      </c>
      <c r="AP51" s="616">
        <f t="shared" si="107"/>
        <v>9.5390433164667124E-2</v>
      </c>
    </row>
    <row r="52" spans="2:42" x14ac:dyDescent="0.25">
      <c r="B52" s="548" t="s">
        <v>647</v>
      </c>
      <c r="C52" s="548" t="s">
        <v>286</v>
      </c>
      <c r="D52" s="548"/>
      <c r="E52" s="548"/>
      <c r="F52" s="548"/>
      <c r="G52" s="548"/>
      <c r="H52" s="548"/>
      <c r="I52" s="548"/>
      <c r="J52" s="548"/>
      <c r="K52" s="548"/>
      <c r="L52" s="548"/>
      <c r="M52" s="548"/>
      <c r="N52" s="639">
        <f>3%*'Investitii-constante'!M38</f>
        <v>480206.32524000009</v>
      </c>
      <c r="O52" s="639">
        <f>3%*'Investitii-constante'!N38</f>
        <v>539062.69740000006</v>
      </c>
      <c r="P52" s="639">
        <f>3%*'Investitii-constante'!O38</f>
        <v>539062.69740000006</v>
      </c>
      <c r="Q52" s="639">
        <f>3%*'Investitii-constante'!P38</f>
        <v>819815.58779999975</v>
      </c>
      <c r="R52" s="639">
        <f>3%*'Investitii-constante'!Q38</f>
        <v>819815.58779999975</v>
      </c>
      <c r="S52" s="639">
        <f>3%*'Investitii-constante'!R38</f>
        <v>819815.58779999975</v>
      </c>
      <c r="T52" s="639">
        <f>3%*'Investitii-constante'!S38</f>
        <v>819815.58779999975</v>
      </c>
      <c r="U52" s="639">
        <f>3%*'Investitii-constante'!T38</f>
        <v>11106.008571428574</v>
      </c>
      <c r="V52" s="639">
        <f>3%*'Investitii-constante'!U38</f>
        <v>11106.008571428574</v>
      </c>
      <c r="W52" s="639">
        <f>3%*'Investitii-constante'!V38</f>
        <v>11106.008571428574</v>
      </c>
      <c r="X52" s="639">
        <f>3%*'Investitii-constante'!W38</f>
        <v>11106.008571428574</v>
      </c>
      <c r="Y52" s="639">
        <f>3%*'Investitii-constante'!X38</f>
        <v>11106.008571428574</v>
      </c>
      <c r="Z52" s="639">
        <f>3%*'Investitii-constante'!Y38</f>
        <v>11106.008571428574</v>
      </c>
      <c r="AA52" s="639">
        <f>3%*'Investitii-constante'!Z38</f>
        <v>11106.008571428574</v>
      </c>
      <c r="AB52" s="639">
        <f>AA52</f>
        <v>11106.008571428574</v>
      </c>
      <c r="AC52" s="639">
        <f t="shared" ref="AC52:AI52" si="108">AB52</f>
        <v>11106.008571428574</v>
      </c>
      <c r="AD52" s="639">
        <f t="shared" si="108"/>
        <v>11106.008571428574</v>
      </c>
      <c r="AE52" s="639">
        <f t="shared" si="108"/>
        <v>11106.008571428574</v>
      </c>
      <c r="AF52" s="639">
        <f t="shared" si="108"/>
        <v>11106.008571428574</v>
      </c>
      <c r="AG52" s="639">
        <f t="shared" si="108"/>
        <v>11106.008571428574</v>
      </c>
      <c r="AH52" s="639">
        <f t="shared" si="108"/>
        <v>11106.008571428574</v>
      </c>
      <c r="AI52" s="639">
        <f t="shared" si="108"/>
        <v>11106.008571428574</v>
      </c>
    </row>
    <row r="53" spans="2:42" x14ac:dyDescent="0.25">
      <c r="B53" s="641" t="s">
        <v>296</v>
      </c>
      <c r="C53" s="642" t="s">
        <v>286</v>
      </c>
      <c r="D53" s="642"/>
      <c r="E53" s="642"/>
      <c r="F53" s="642"/>
      <c r="G53" s="643">
        <f>G48+G38</f>
        <v>2602805.8445517649</v>
      </c>
      <c r="H53" s="643">
        <f>H48+H38</f>
        <v>2228365.2550564865</v>
      </c>
      <c r="I53" s="643">
        <f>I48+I38</f>
        <v>2203408.0222745459</v>
      </c>
      <c r="J53" s="643">
        <f t="shared" ref="J53:M53" si="109">J48+J38</f>
        <v>2200626.089109086</v>
      </c>
      <c r="K53" s="643">
        <f>K48+K38</f>
        <v>2544185.1855701553</v>
      </c>
      <c r="L53" s="643">
        <f t="shared" si="109"/>
        <v>2464821.8803821914</v>
      </c>
      <c r="M53" s="643">
        <f t="shared" si="109"/>
        <v>2582430.6783307502</v>
      </c>
      <c r="N53" s="643">
        <f>N48+N38+N52</f>
        <v>3187791.0684442758</v>
      </c>
      <c r="O53" s="643">
        <f t="shared" ref="O53:Q53" si="110">O48+O38+O52</f>
        <v>3377703.0732252114</v>
      </c>
      <c r="P53" s="643">
        <f t="shared" si="110"/>
        <v>3514983.3105942118</v>
      </c>
      <c r="Q53" s="643">
        <f t="shared" si="110"/>
        <v>5413679.6355911344</v>
      </c>
      <c r="R53" s="643">
        <f t="shared" ref="R53" si="111">R48+R38+R52</f>
        <v>5524191.2590871286</v>
      </c>
      <c r="S53" s="643">
        <f t="shared" ref="S53" si="112">S48+S38+S52</f>
        <v>5642646.0177661479</v>
      </c>
      <c r="T53" s="643">
        <f t="shared" ref="T53" si="113">T48+T38+T52</f>
        <v>5770629.7171100331</v>
      </c>
      <c r="U53" s="643">
        <f t="shared" ref="U53" si="114">U48+U38+U52</f>
        <v>5101480.0246859975</v>
      </c>
      <c r="V53" s="643">
        <f t="shared" ref="V53" si="115">V48+V38+V52</f>
        <v>5255275.0253804801</v>
      </c>
      <c r="W53" s="643">
        <f t="shared" ref="W53" si="116">W48+W38+W52</f>
        <v>5426780.5257696714</v>
      </c>
      <c r="X53" s="643">
        <f t="shared" ref="X53" si="117">X48+X38+X52</f>
        <v>5623911.2774584852</v>
      </c>
      <c r="Y53" s="643">
        <f t="shared" ref="Y53" si="118">Y48+Y38+Y52</f>
        <v>5837245.3072462184</v>
      </c>
      <c r="Z53" s="643">
        <f t="shared" ref="Z53" si="119">Z48+Z38+Z52</f>
        <v>6086783.5363613786</v>
      </c>
      <c r="AA53" s="643">
        <f t="shared" ref="AA53" si="120">AA48+AA38+AA52</f>
        <v>6383375.1187911192</v>
      </c>
      <c r="AB53" s="643">
        <f t="shared" ref="AB53" si="121">AB48+AB38+AB52</f>
        <v>6741699.981364538</v>
      </c>
      <c r="AC53" s="643">
        <f t="shared" ref="AC53" si="122">AC48+AC38+AC52</f>
        <v>7181765.490799698</v>
      </c>
      <c r="AD53" s="643">
        <f t="shared" ref="AD53" si="123">AD48+AD38+AD52</f>
        <v>7731040.1444399627</v>
      </c>
      <c r="AE53" s="643">
        <f t="shared" ref="AE53" si="124">AE48+AE38+AE52</f>
        <v>8427516.428703947</v>
      </c>
      <c r="AF53" s="643">
        <f t="shared" ref="AF53" si="125">AF48+AF38+AF52</f>
        <v>9324138.2424954455</v>
      </c>
      <c r="AG53" s="643">
        <f t="shared" ref="AG53" si="126">AG48+AG38+AG52</f>
        <v>10495246.178408548</v>
      </c>
      <c r="AH53" s="643">
        <f t="shared" ref="AH53" si="127">AH48+AH38+AH52</f>
        <v>12055011.352194585</v>
      </c>
      <c r="AI53" s="643">
        <f t="shared" ref="AI53" si="128">AI48+AI38+AI52</f>
        <v>14144779.331068469</v>
      </c>
    </row>
    <row r="54" spans="2:42" x14ac:dyDescent="0.25">
      <c r="B54" s="548" t="s">
        <v>648</v>
      </c>
      <c r="C54" s="548" t="s">
        <v>273</v>
      </c>
      <c r="D54" s="548"/>
      <c r="E54" s="548"/>
      <c r="F54" s="548"/>
      <c r="G54" s="637">
        <v>7002866</v>
      </c>
      <c r="H54" s="637">
        <v>5895572</v>
      </c>
      <c r="I54" s="637">
        <v>5653791</v>
      </c>
      <c r="J54" s="637">
        <v>4795860</v>
      </c>
      <c r="K54" s="637">
        <v>5118816</v>
      </c>
      <c r="L54" s="637">
        <f>'[21]Prognoza Apa'!E113</f>
        <v>5788329.9882145291</v>
      </c>
      <c r="M54" s="637">
        <f>'[21]Prognoza Apa'!F113</f>
        <v>5960169.968170207</v>
      </c>
      <c r="N54" s="637">
        <f>'[21]Prognoza Apa'!G113</f>
        <v>6136446.0481352191</v>
      </c>
      <c r="O54" s="637">
        <f>'[21]Prognoza Apa'!H113</f>
        <v>6310942.0782128088</v>
      </c>
      <c r="P54" s="637">
        <f>'[21]Prognoza Apa'!I113</f>
        <v>6482825.2146480177</v>
      </c>
      <c r="Q54" s="637">
        <f>'[21]Prognoza Apa'!J113</f>
        <v>10503777.804579636</v>
      </c>
      <c r="R54" s="637">
        <f>'[21]Prognoza Apa'!K113</f>
        <v>10486800.233487708</v>
      </c>
      <c r="S54" s="637">
        <f>'[21]Prognoza Apa'!L113</f>
        <v>10469671.187235795</v>
      </c>
      <c r="T54" s="637">
        <f>'[21]Prognoza Apa'!M113</f>
        <v>10452393.290351711</v>
      </c>
      <c r="U54" s="637">
        <f>'[21]Prognoza Apa'!N113</f>
        <v>10434969.140803035</v>
      </c>
      <c r="V54" s="637">
        <f>'[21]Prognoza Apa'!O113</f>
        <v>10417401.310216146</v>
      </c>
      <c r="W54" s="637">
        <f>'[21]Prognoza Apa'!P113</f>
        <v>10399692.344093801</v>
      </c>
      <c r="X54" s="637">
        <f>'[21]Prognoza Apa'!Q113</f>
        <v>10389430.475365205</v>
      </c>
      <c r="Y54" s="637">
        <f>'[21]Prognoza Apa'!R113</f>
        <v>10351732.438983098</v>
      </c>
      <c r="Z54" s="637">
        <f>'[21]Prognoza Apa'!S113</f>
        <v>10314217.409318678</v>
      </c>
      <c r="AA54" s="637">
        <f>'[21]Prognoza Apa'!T113</f>
        <v>10276884.185752602</v>
      </c>
      <c r="AB54" s="637">
        <f>'[21]Prognoza Apa'!U113</f>
        <v>10239731.578765241</v>
      </c>
      <c r="AC54" s="637">
        <f>'[21]Prognoza Apa'!V113</f>
        <v>10202758.409815744</v>
      </c>
      <c r="AD54" s="637">
        <f>'[21]Prognoza Apa'!W113</f>
        <v>10165963.511222487</v>
      </c>
      <c r="AE54" s="637">
        <f>'[21]Prognoza Apa'!X113</f>
        <v>10129345.726044826</v>
      </c>
      <c r="AF54" s="637">
        <f>'[21]Prognoza Apa'!Y113</f>
        <v>10092903.907966161</v>
      </c>
      <c r="AG54" s="637">
        <f>'[21]Prognoza Apa'!Z113</f>
        <v>10056636.921178341</v>
      </c>
      <c r="AH54" s="637">
        <f>'[21]Prognoza Apa'!AA113</f>
        <v>10037187.352193907</v>
      </c>
      <c r="AI54" s="637">
        <f>'[21]Prognoza Apa'!AB113</f>
        <v>10017853.418291328</v>
      </c>
    </row>
    <row r="55" spans="2:42" x14ac:dyDescent="0.25">
      <c r="B55" s="548" t="s">
        <v>298</v>
      </c>
      <c r="C55" s="548" t="s">
        <v>299</v>
      </c>
      <c r="D55" s="548"/>
      <c r="E55" s="548"/>
      <c r="F55" s="548"/>
      <c r="G55" s="637">
        <f>'prognoze cantitati'!H248</f>
        <v>30239.233421225461</v>
      </c>
      <c r="H55" s="637">
        <f>'prognoze cantitati'!I248</f>
        <v>50398.722368709103</v>
      </c>
      <c r="I55" s="637">
        <f>'prognoze cantitati'!J248</f>
        <v>71998.174812441575</v>
      </c>
      <c r="J55" s="637">
        <f>'prognoze cantitati'!K248</f>
        <v>89997.718515551969</v>
      </c>
      <c r="K55" s="637">
        <f>'prognoze cantitati'!L248</f>
        <v>99997.465017279959</v>
      </c>
      <c r="L55" s="637">
        <f>'prognoze cantitati'!M248</f>
        <v>99647.32071694659</v>
      </c>
      <c r="M55" s="637">
        <f>'prognoze cantitati'!N248</f>
        <v>98767.109374340827</v>
      </c>
      <c r="N55" s="637">
        <f>'prognoze cantitati'!O248</f>
        <v>98099.034760948256</v>
      </c>
      <c r="O55" s="637">
        <f>'prognoze cantitati'!P248</f>
        <v>97435.479098164753</v>
      </c>
      <c r="P55" s="637">
        <f>'prognoze cantitati'!Q248</f>
        <v>96776.411819173038</v>
      </c>
      <c r="Q55" s="637">
        <f>'prognoze cantitati'!R248</f>
        <v>187585.5992370162</v>
      </c>
      <c r="R55" s="637">
        <f>'prognoze cantitati'!S248</f>
        <v>186316.74387127609</v>
      </c>
      <c r="S55" s="637">
        <f>'prognoze cantitati'!T248</f>
        <v>185056.4712216171</v>
      </c>
      <c r="T55" s="637">
        <f>'prognoze cantitati'!U248</f>
        <v>183804.72323334098</v>
      </c>
      <c r="U55" s="637">
        <f>'prognoze cantitati'!V248</f>
        <v>182561.44224443991</v>
      </c>
      <c r="V55" s="637">
        <f>'prognoze cantitati'!W248</f>
        <v>181326.57098293956</v>
      </c>
      <c r="W55" s="637">
        <f>'prognoze cantitati'!X248</f>
        <v>180100.05256426148</v>
      </c>
      <c r="X55" s="637">
        <f>'prognoze cantitati'!Y248</f>
        <v>179079.76169105715</v>
      </c>
      <c r="Y55" s="637">
        <f>'prognoze cantitati'!Z248</f>
        <v>178065.25090204016</v>
      </c>
      <c r="Z55" s="637">
        <f>'prognoze cantitati'!AA248</f>
        <v>177056.4874522606</v>
      </c>
      <c r="AA55" s="637">
        <f>'prognoze cantitati'!AB248</f>
        <v>176053.43878227356</v>
      </c>
      <c r="AB55" s="637">
        <f>'prognoze cantitati'!AC248</f>
        <v>175056.07251708777</v>
      </c>
      <c r="AC55" s="637">
        <f>'prognoze cantitati'!AD248</f>
        <v>174064.35646512019</v>
      </c>
      <c r="AD55" s="637">
        <f>'prognoze cantitati'!AE248</f>
        <v>173078.25861715764</v>
      </c>
      <c r="AE55" s="637">
        <f>'prognoze cantitati'!AF248</f>
        <v>172097.74714532358</v>
      </c>
      <c r="AF55" s="637">
        <f>'prognoze cantitati'!AG248</f>
        <v>171122.79040205028</v>
      </c>
      <c r="AG55" s="637">
        <f>'prognoze cantitati'!AH248</f>
        <v>170153.35691905793</v>
      </c>
      <c r="AH55" s="637">
        <f>'prognoze cantitati'!AI248</f>
        <v>169611.86041063373</v>
      </c>
      <c r="AI55" s="637">
        <f>'prognoze cantitati'!AJ248</f>
        <v>169072.08716217888</v>
      </c>
    </row>
    <row r="56" spans="2:42" x14ac:dyDescent="0.25">
      <c r="B56" s="548" t="s">
        <v>315</v>
      </c>
      <c r="C56" s="548" t="s">
        <v>300</v>
      </c>
      <c r="D56" s="548"/>
      <c r="E56" s="548"/>
      <c r="F56" s="548"/>
      <c r="G56" s="631">
        <f>G53/G55</f>
        <v>86.073803799695824</v>
      </c>
      <c r="H56" s="631">
        <f>H53/H55</f>
        <v>44.214717165925713</v>
      </c>
      <c r="I56" s="631">
        <f>I53/I55</f>
        <v>30.603664995876922</v>
      </c>
      <c r="J56" s="631">
        <f t="shared" ref="J56:AI56" si="129">J53/J55</f>
        <v>24.452020844604064</v>
      </c>
      <c r="K56" s="631">
        <f t="shared" si="129"/>
        <v>25.442496818599452</v>
      </c>
      <c r="L56" s="631">
        <f t="shared" si="129"/>
        <v>24.73545563140274</v>
      </c>
      <c r="M56" s="631">
        <f t="shared" si="129"/>
        <v>26.14666658455079</v>
      </c>
      <c r="N56" s="631">
        <f t="shared" si="129"/>
        <v>32.495641534215046</v>
      </c>
      <c r="O56" s="631">
        <f t="shared" si="129"/>
        <v>34.666048799557167</v>
      </c>
      <c r="P56" s="631">
        <f t="shared" si="129"/>
        <v>36.32066166249237</v>
      </c>
      <c r="Q56" s="631">
        <f t="shared" si="129"/>
        <v>28.859782721118684</v>
      </c>
      <c r="R56" s="631">
        <f t="shared" si="129"/>
        <v>29.649462223876792</v>
      </c>
      <c r="S56" s="631">
        <f t="shared" si="129"/>
        <v>30.491481765091663</v>
      </c>
      <c r="T56" s="631">
        <f t="shared" si="129"/>
        <v>31.395437590492119</v>
      </c>
      <c r="U56" s="631">
        <f t="shared" si="129"/>
        <v>27.943907333156314</v>
      </c>
      <c r="V56" s="631">
        <f t="shared" si="129"/>
        <v>28.982376917473015</v>
      </c>
      <c r="W56" s="631">
        <f t="shared" si="129"/>
        <v>30.132031881741636</v>
      </c>
      <c r="X56" s="631">
        <f t="shared" si="129"/>
        <v>31.404505033688185</v>
      </c>
      <c r="Y56" s="631">
        <f t="shared" si="129"/>
        <v>32.781495983500385</v>
      </c>
      <c r="Z56" s="631">
        <f t="shared" si="129"/>
        <v>34.377636334859218</v>
      </c>
      <c r="AA56" s="631">
        <f t="shared" si="129"/>
        <v>36.258167763967855</v>
      </c>
      <c r="AB56" s="631">
        <f t="shared" si="129"/>
        <v>38.511660203655374</v>
      </c>
      <c r="AC56" s="631">
        <f t="shared" si="129"/>
        <v>41.25925397161258</v>
      </c>
      <c r="AD56" s="631">
        <f t="shared" si="129"/>
        <v>44.667887267924982</v>
      </c>
      <c r="AE56" s="631">
        <f t="shared" si="129"/>
        <v>48.96935938148885</v>
      </c>
      <c r="AF56" s="631">
        <f t="shared" si="129"/>
        <v>54.487997890804202</v>
      </c>
      <c r="AG56" s="631">
        <f t="shared" si="129"/>
        <v>61.681099735229701</v>
      </c>
      <c r="AH56" s="631">
        <f t="shared" si="129"/>
        <v>71.074106038393538</v>
      </c>
      <c r="AI56" s="631">
        <f t="shared" si="129"/>
        <v>83.661233314641606</v>
      </c>
    </row>
    <row r="57" spans="2:42" x14ac:dyDescent="0.25">
      <c r="B57" s="548"/>
      <c r="C57" s="548"/>
      <c r="D57" s="548"/>
      <c r="E57" s="548"/>
      <c r="F57" s="548"/>
      <c r="G57" s="548"/>
      <c r="H57" s="548"/>
      <c r="I57" s="548"/>
      <c r="J57" s="548"/>
      <c r="K57" s="548"/>
      <c r="L57" s="548"/>
      <c r="M57" s="548"/>
      <c r="N57" s="548"/>
      <c r="O57" s="548"/>
      <c r="P57" s="548"/>
      <c r="Q57" s="548"/>
      <c r="R57" s="548"/>
      <c r="S57" s="548"/>
      <c r="T57" s="548"/>
      <c r="U57" s="548"/>
      <c r="V57" s="548"/>
      <c r="W57" s="548"/>
      <c r="X57" s="548"/>
      <c r="Y57" s="548"/>
      <c r="Z57" s="548"/>
      <c r="AA57" s="548"/>
      <c r="AB57" s="548"/>
      <c r="AC57" s="548"/>
      <c r="AD57" s="548"/>
      <c r="AE57" s="548"/>
      <c r="AF57" s="548"/>
      <c r="AG57" s="548"/>
      <c r="AH57" s="548"/>
      <c r="AI57" s="548"/>
    </row>
    <row r="58" spans="2:42" x14ac:dyDescent="0.25">
      <c r="B58" s="644" t="s">
        <v>508</v>
      </c>
      <c r="C58" s="548" t="s">
        <v>273</v>
      </c>
      <c r="D58" s="548"/>
      <c r="E58" s="548"/>
      <c r="F58" s="548"/>
      <c r="G58" s="635">
        <v>4956456</v>
      </c>
      <c r="H58" s="635">
        <v>4622063</v>
      </c>
      <c r="I58" s="635">
        <v>4686773</v>
      </c>
      <c r="J58" s="635">
        <v>4478719</v>
      </c>
      <c r="K58" s="635">
        <v>4668927</v>
      </c>
      <c r="L58" s="635">
        <f>'prognoze cantitati'!M244</f>
        <v>4461738.6202145293</v>
      </c>
      <c r="M58" s="635">
        <f>'prognoze cantitati'!N244</f>
        <v>4620312.686490207</v>
      </c>
      <c r="N58" s="635">
        <f>'prognoze cantitati'!O244</f>
        <v>4783190.1936384197</v>
      </c>
      <c r="O58" s="635">
        <f>'prognoze cantitati'!P244</f>
        <v>4944153.6651710412</v>
      </c>
      <c r="P58" s="635">
        <f>'prognoze cantitati'!Q244</f>
        <v>5102368.9174758317</v>
      </c>
      <c r="Q58" s="635">
        <f>'prognoze cantitati'!R244</f>
        <v>8579799.1008371897</v>
      </c>
      <c r="R58" s="635">
        <f>'prognoze cantitati'!S244</f>
        <v>8582061.3167826869</v>
      </c>
      <c r="S58" s="635">
        <f>'prognoze cantitati'!T244</f>
        <v>8583979.6596978232</v>
      </c>
      <c r="T58" s="635">
        <f>'prognoze cantitati'!U244</f>
        <v>8585558.6780891195</v>
      </c>
      <c r="U58" s="635">
        <f>'prognoze cantitati'!V244</f>
        <v>8586802.8746630698</v>
      </c>
      <c r="V58" s="635">
        <f>'prognoze cantitati'!W244</f>
        <v>8587716.7067375798</v>
      </c>
      <c r="W58" s="635">
        <f>'prognoze cantitati'!X244</f>
        <v>8588304.5866500214</v>
      </c>
      <c r="X58" s="635">
        <f>'prognoze cantitati'!Y244</f>
        <v>8596156.5954958629</v>
      </c>
      <c r="Y58" s="635">
        <f>'prognoze cantitati'!Z244</f>
        <v>8576391.2979124486</v>
      </c>
      <c r="Z58" s="635">
        <f>'prognoze cantitati'!AA244</f>
        <v>8556629.6796587352</v>
      </c>
      <c r="AA58" s="635">
        <f>'prognoze cantitati'!AB244</f>
        <v>8536872.3333892599</v>
      </c>
      <c r="AB58" s="635">
        <f>'prognoze cantitati'!AC244</f>
        <v>8517119.8449255321</v>
      </c>
      <c r="AC58" s="635">
        <f>'prognoze cantitati'!AD244</f>
        <v>8497372.7933144309</v>
      </c>
      <c r="AD58" s="635">
        <f>'prognoze cantitati'!AE244</f>
        <v>8477631.7508861888</v>
      </c>
      <c r="AE58" s="635">
        <f>'prognoze cantitati'!AF244</f>
        <v>8457897.2833118904</v>
      </c>
      <c r="AF58" s="635">
        <f>'prognoze cantitati'!AG244</f>
        <v>8438169.9496605545</v>
      </c>
      <c r="AG58" s="635">
        <f>'prognoze cantitati'!AH244</f>
        <v>8418450.3024557903</v>
      </c>
      <c r="AH58" s="635">
        <f>'prognoze cantitati'!AI244</f>
        <v>8415382.5996585824</v>
      </c>
      <c r="AI58" s="635">
        <f>'prognoze cantitati'!AJ244</f>
        <v>8412266.7132813558</v>
      </c>
    </row>
    <row r="59" spans="2:42" x14ac:dyDescent="0.25">
      <c r="B59" s="548" t="s">
        <v>312</v>
      </c>
      <c r="C59" s="548" t="s">
        <v>288</v>
      </c>
      <c r="D59" s="548"/>
      <c r="E59" s="548"/>
      <c r="F59" s="548"/>
      <c r="G59" s="609">
        <f>G53/G58</f>
        <v>0.52513445989468377</v>
      </c>
      <c r="H59" s="645">
        <f>H53/H58</f>
        <v>0.48211485976207735</v>
      </c>
      <c r="I59" s="645">
        <f>I53/I58</f>
        <v>0.4701332926247006</v>
      </c>
      <c r="J59" s="645">
        <f t="shared" ref="J59:AI59" si="130">J53/J58</f>
        <v>0.49135167647469868</v>
      </c>
      <c r="K59" s="645">
        <f t="shared" si="130"/>
        <v>0.54491860454664531</v>
      </c>
      <c r="L59" s="645">
        <f t="shared" si="130"/>
        <v>0.55243529264914171</v>
      </c>
      <c r="M59" s="645">
        <f t="shared" si="130"/>
        <v>0.5589298503284803</v>
      </c>
      <c r="N59" s="645">
        <f t="shared" si="130"/>
        <v>0.66645710067811981</v>
      </c>
      <c r="O59" s="645">
        <f t="shared" si="130"/>
        <v>0.68317113544009578</v>
      </c>
      <c r="P59" s="645">
        <f t="shared" si="130"/>
        <v>0.68889242770259984</v>
      </c>
      <c r="Q59" s="645">
        <f t="shared" si="130"/>
        <v>0.63097976677133205</v>
      </c>
      <c r="R59" s="645">
        <f t="shared" si="130"/>
        <v>0.64369049056830585</v>
      </c>
      <c r="S59" s="645">
        <f t="shared" si="130"/>
        <v>0.65734615428536358</v>
      </c>
      <c r="T59" s="645">
        <f t="shared" si="130"/>
        <v>0.67213211550659357</v>
      </c>
      <c r="U59" s="645">
        <f t="shared" si="130"/>
        <v>0.59410703834122547</v>
      </c>
      <c r="V59" s="645">
        <f t="shared" si="130"/>
        <v>0.61195253695984186</v>
      </c>
      <c r="W59" s="645">
        <f t="shared" si="130"/>
        <v>0.63188030548022944</v>
      </c>
      <c r="X59" s="645">
        <f t="shared" si="130"/>
        <v>0.6542355545739188</v>
      </c>
      <c r="Y59" s="645">
        <f t="shared" si="130"/>
        <v>0.68061788513159882</v>
      </c>
      <c r="Z59" s="645">
        <f t="shared" si="130"/>
        <v>0.71135292331643107</v>
      </c>
      <c r="AA59" s="645">
        <f t="shared" si="130"/>
        <v>0.74774166339873427</v>
      </c>
      <c r="AB59" s="645">
        <f t="shared" si="130"/>
        <v>0.79154692009896011</v>
      </c>
      <c r="AC59" s="645">
        <f t="shared" si="130"/>
        <v>0.84517481643857884</v>
      </c>
      <c r="AD59" s="645">
        <f t="shared" si="130"/>
        <v>0.91193394235740621</v>
      </c>
      <c r="AE59" s="645">
        <f t="shared" si="130"/>
        <v>0.99640798964680177</v>
      </c>
      <c r="AF59" s="645">
        <f t="shared" si="130"/>
        <v>1.104995312742016</v>
      </c>
      <c r="AG59" s="645">
        <f t="shared" si="130"/>
        <v>1.2466957458128516</v>
      </c>
      <c r="AH59" s="645">
        <f t="shared" si="130"/>
        <v>1.4324971217213183</v>
      </c>
      <c r="AI59" s="645">
        <f t="shared" si="130"/>
        <v>1.6814468457991918</v>
      </c>
    </row>
    <row r="60" spans="2:42" x14ac:dyDescent="0.25">
      <c r="B60" s="548" t="s">
        <v>312</v>
      </c>
      <c r="C60" s="548" t="s">
        <v>313</v>
      </c>
      <c r="D60" s="548"/>
      <c r="E60" s="548"/>
      <c r="F60" s="548"/>
      <c r="G60" s="646">
        <f>G59*AS3</f>
        <v>2.353705162693962</v>
      </c>
      <c r="H60" s="646">
        <f t="shared" ref="H60:K60" si="131">H59*AT3</f>
        <v>2.1813286829935188</v>
      </c>
      <c r="I60" s="646">
        <f t="shared" si="131"/>
        <v>2.1112745905190056</v>
      </c>
      <c r="J60" s="646">
        <f t="shared" si="131"/>
        <v>2.2445435933040714</v>
      </c>
      <c r="K60" s="646">
        <f t="shared" si="131"/>
        <v>2.535778726257814</v>
      </c>
      <c r="L60" s="647">
        <f>L59*4.8</f>
        <v>2.6516894047158801</v>
      </c>
      <c r="M60" s="647">
        <f t="shared" ref="M60:P60" si="132">M59*4.8</f>
        <v>2.6828632815767053</v>
      </c>
      <c r="N60" s="647">
        <f t="shared" si="132"/>
        <v>3.1989940832549748</v>
      </c>
      <c r="O60" s="647">
        <f t="shared" si="132"/>
        <v>3.2792214501124595</v>
      </c>
      <c r="P60" s="647">
        <f t="shared" si="132"/>
        <v>3.3066836529724792</v>
      </c>
      <c r="Q60" s="647">
        <f t="shared" ref="Q60" si="133">Q59*4.8</f>
        <v>3.0287028805023937</v>
      </c>
      <c r="R60" s="647">
        <f t="shared" ref="R60" si="134">R59*4.8</f>
        <v>3.0897143547278678</v>
      </c>
      <c r="S60" s="647">
        <f t="shared" ref="S60" si="135">S59*4.8</f>
        <v>3.1552615405697453</v>
      </c>
      <c r="T60" s="647">
        <f t="shared" ref="T60" si="136">T59*4.8</f>
        <v>3.2262341544316491</v>
      </c>
      <c r="U60" s="647">
        <f t="shared" ref="U60" si="137">U59*4.8</f>
        <v>2.8517137840378823</v>
      </c>
      <c r="V60" s="647">
        <f t="shared" ref="V60" si="138">V59*4.8</f>
        <v>2.9373721774072408</v>
      </c>
      <c r="W60" s="647">
        <f t="shared" ref="W60" si="139">W59*4.8</f>
        <v>3.0330254663051011</v>
      </c>
      <c r="X60" s="647">
        <f t="shared" ref="X60" si="140">X59*4.8</f>
        <v>3.1403306619548101</v>
      </c>
      <c r="Y60" s="647">
        <f t="shared" ref="Y60" si="141">Y59*4.8</f>
        <v>3.2669658486316742</v>
      </c>
      <c r="Z60" s="647">
        <f t="shared" ref="Z60" si="142">Z59*4.8</f>
        <v>3.4144940319188692</v>
      </c>
      <c r="AA60" s="647">
        <f t="shared" ref="AA60" si="143">AA59*4.8</f>
        <v>3.5891599843139246</v>
      </c>
      <c r="AB60" s="647">
        <f t="shared" ref="AB60" si="144">AB59*4.8</f>
        <v>3.7994252164750084</v>
      </c>
      <c r="AC60" s="647">
        <f t="shared" ref="AC60" si="145">AC59*4.8</f>
        <v>4.0568391189051782</v>
      </c>
      <c r="AD60" s="647">
        <f t="shared" ref="AD60" si="146">AD59*4.8</f>
        <v>4.3772829233155495</v>
      </c>
      <c r="AE60" s="647">
        <f t="shared" ref="AE60" si="147">AE59*4.8</f>
        <v>4.7827583503046487</v>
      </c>
      <c r="AF60" s="647">
        <f t="shared" ref="AF60" si="148">AF59*4.8</f>
        <v>5.3039775011616763</v>
      </c>
      <c r="AG60" s="647">
        <f t="shared" ref="AG60" si="149">AG59*4.8</f>
        <v>5.9841395799016874</v>
      </c>
      <c r="AH60" s="647">
        <f t="shared" ref="AH60" si="150">AH59*4.8</f>
        <v>6.8759861842623273</v>
      </c>
      <c r="AI60" s="647">
        <f t="shared" ref="AI60" si="151">AI59*4.8</f>
        <v>8.0709448598361195</v>
      </c>
    </row>
    <row r="63" spans="2:42" x14ac:dyDescent="0.25">
      <c r="L63" s="648"/>
      <c r="M63" s="648"/>
    </row>
  </sheetData>
  <mergeCells count="66">
    <mergeCell ref="AI10:AI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AF10:AF11"/>
    <mergeCell ref="AG10:AG11"/>
    <mergeCell ref="AH10:AH11"/>
    <mergeCell ref="W10:W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K10:K11"/>
    <mergeCell ref="B7:C7"/>
    <mergeCell ref="B8:C8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I2:AI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W2:W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B2:F3"/>
    <mergeCell ref="K2:K3"/>
    <mergeCell ref="G2:G3"/>
    <mergeCell ref="H2:H3"/>
    <mergeCell ref="I2:I3"/>
    <mergeCell ref="J2:J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E8"/>
  <sheetViews>
    <sheetView workbookViewId="0">
      <selection activeCell="E33" sqref="E33"/>
    </sheetView>
  </sheetViews>
  <sheetFormatPr defaultRowHeight="15" x14ac:dyDescent="0.25"/>
  <cols>
    <col min="2" max="2" width="25.28515625" customWidth="1"/>
    <col min="3" max="3" width="16.42578125" customWidth="1"/>
    <col min="4" max="4" width="16.5703125" customWidth="1"/>
    <col min="5" max="5" width="18.7109375" customWidth="1"/>
  </cols>
  <sheetData>
    <row r="2" spans="2:5" ht="15.75" thickBot="1" x14ac:dyDescent="0.3"/>
    <row r="3" spans="2:5" ht="38.25" customHeight="1" x14ac:dyDescent="0.25">
      <c r="B3" s="493" t="s">
        <v>614</v>
      </c>
      <c r="C3" s="602" t="s">
        <v>302</v>
      </c>
      <c r="D3" s="337" t="s">
        <v>19</v>
      </c>
      <c r="E3" s="338" t="s">
        <v>303</v>
      </c>
    </row>
    <row r="4" spans="2:5" x14ac:dyDescent="0.25">
      <c r="B4" s="71" t="s">
        <v>627</v>
      </c>
      <c r="C4" s="477">
        <f>'[22]7.3.1'!$D$153*1.22</f>
        <v>9905555.7599999998</v>
      </c>
      <c r="D4" s="477">
        <f>'[22]7.3.1'!$D$154*1.22</f>
        <v>34311228.759999998</v>
      </c>
      <c r="E4" s="339">
        <f>C4+D4</f>
        <v>44216784.519999996</v>
      </c>
    </row>
    <row r="5" spans="2:5" x14ac:dyDescent="0.25">
      <c r="B5" s="32" t="s">
        <v>628</v>
      </c>
      <c r="C5" s="477">
        <f>'[22]7.3.1'!$E$153*1.22</f>
        <v>84954787.840000004</v>
      </c>
      <c r="D5" s="477">
        <f>'[22]7.3.1'!$E$154*1.22</f>
        <v>41275190.060000002</v>
      </c>
      <c r="E5" s="339">
        <f t="shared" ref="E5:E7" si="0">C5+D5</f>
        <v>126229977.90000001</v>
      </c>
    </row>
    <row r="6" spans="2:5" x14ac:dyDescent="0.25">
      <c r="B6" s="32" t="s">
        <v>629</v>
      </c>
      <c r="C6" s="477">
        <f>'[22]7.3.1'!$F$153*1.22</f>
        <v>17847816.149999999</v>
      </c>
      <c r="D6" s="477">
        <f>'[22]7.3.1'!$F$154*1.22</f>
        <v>112386796.5</v>
      </c>
      <c r="E6" s="339">
        <f t="shared" si="0"/>
        <v>130234612.65000001</v>
      </c>
    </row>
    <row r="7" spans="2:5" x14ac:dyDescent="0.25">
      <c r="B7" s="32" t="s">
        <v>529</v>
      </c>
      <c r="C7" s="69">
        <f>'[22]7.3.1'!$G$153</f>
        <v>0</v>
      </c>
      <c r="D7" s="69">
        <f>'[22]7.3.1'!$G$154*1.22</f>
        <v>2591402</v>
      </c>
      <c r="E7" s="339">
        <f t="shared" si="0"/>
        <v>2591402</v>
      </c>
    </row>
    <row r="8" spans="2:5" ht="15.75" thickBot="1" x14ac:dyDescent="0.3">
      <c r="B8" s="479" t="s">
        <v>303</v>
      </c>
      <c r="C8" s="480">
        <f>SUM(C4:C7)</f>
        <v>112708159.75</v>
      </c>
      <c r="D8" s="480">
        <f>SUM(D4:D7)</f>
        <v>190564617.31999999</v>
      </c>
      <c r="E8" s="481">
        <f>SUM(E4:E7)</f>
        <v>303272777.07000005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45"/>
  <sheetViews>
    <sheetView workbookViewId="0">
      <selection activeCell="I23" sqref="I23"/>
    </sheetView>
  </sheetViews>
  <sheetFormatPr defaultRowHeight="15" x14ac:dyDescent="0.25"/>
  <cols>
    <col min="1" max="1" width="9.140625" style="425"/>
    <col min="2" max="2" width="22.5703125" style="425" customWidth="1"/>
    <col min="3" max="3" width="14.85546875" style="425" customWidth="1"/>
    <col min="4" max="4" width="13.85546875" style="425" customWidth="1"/>
    <col min="5" max="5" width="13.42578125" style="425" customWidth="1"/>
    <col min="6" max="6" width="14.5703125" style="425" customWidth="1"/>
    <col min="7" max="7" width="13.85546875" style="425" customWidth="1"/>
    <col min="8" max="8" width="9.140625" style="425"/>
    <col min="9" max="9" width="15.85546875" style="425" customWidth="1"/>
    <col min="10" max="11" width="9.140625" style="425"/>
    <col min="12" max="12" width="14.7109375" style="425" customWidth="1"/>
    <col min="13" max="16384" width="9.140625" style="425"/>
  </cols>
  <sheetData>
    <row r="2" spans="2:12" x14ac:dyDescent="0.25">
      <c r="B2" s="421" t="s">
        <v>604</v>
      </c>
      <c r="C2" s="422"/>
      <c r="D2" s="423">
        <v>2020</v>
      </c>
      <c r="E2" s="423">
        <v>2021</v>
      </c>
      <c r="F2" s="423">
        <v>2022</v>
      </c>
      <c r="G2" s="423">
        <v>2023</v>
      </c>
      <c r="H2" s="422"/>
      <c r="I2" s="424" t="s">
        <v>303</v>
      </c>
    </row>
    <row r="3" spans="2:12" x14ac:dyDescent="0.25">
      <c r="B3" s="421" t="s">
        <v>605</v>
      </c>
      <c r="C3" s="421"/>
      <c r="D3" s="426">
        <v>0</v>
      </c>
      <c r="E3" s="426">
        <v>0.3</v>
      </c>
      <c r="F3" s="426">
        <v>0.35</v>
      </c>
      <c r="G3" s="426">
        <v>0.35</v>
      </c>
      <c r="H3" s="422"/>
      <c r="I3" s="427">
        <f>SUM(D3:G3)</f>
        <v>0.99999999999999989</v>
      </c>
    </row>
    <row r="4" spans="2:12" x14ac:dyDescent="0.25">
      <c r="B4" s="422"/>
      <c r="C4" s="422"/>
      <c r="D4" s="422"/>
      <c r="E4" s="422"/>
      <c r="F4" s="422"/>
      <c r="G4" s="422"/>
      <c r="H4" s="422"/>
      <c r="I4" s="422"/>
    </row>
    <row r="5" spans="2:12" x14ac:dyDescent="0.25">
      <c r="B5" s="421" t="s">
        <v>606</v>
      </c>
      <c r="C5" s="428">
        <v>1</v>
      </c>
      <c r="D5" s="429"/>
      <c r="E5" s="429">
        <v>2.9000000000000001E-2</v>
      </c>
      <c r="F5" s="430">
        <v>2.8000000000000001E-2</v>
      </c>
      <c r="G5" s="430">
        <v>2.5999999999999999E-2</v>
      </c>
      <c r="H5" s="422"/>
      <c r="I5" s="431">
        <f>SUM(D5:G5)</f>
        <v>8.3000000000000004E-2</v>
      </c>
    </row>
    <row r="6" spans="2:12" x14ac:dyDescent="0.25">
      <c r="B6" s="432" t="s">
        <v>607</v>
      </c>
      <c r="C6" s="422"/>
      <c r="D6" s="422"/>
      <c r="E6" s="422"/>
      <c r="F6" s="422"/>
      <c r="G6" s="422"/>
      <c r="H6" s="422"/>
      <c r="I6" s="422"/>
    </row>
    <row r="7" spans="2:12" x14ac:dyDescent="0.25">
      <c r="B7" s="422" t="s">
        <v>608</v>
      </c>
      <c r="C7" s="422"/>
      <c r="D7" s="433">
        <f>C5*(1+D5)</f>
        <v>1</v>
      </c>
      <c r="E7" s="433">
        <f>D7*(1+E5)</f>
        <v>1.0289999999999999</v>
      </c>
      <c r="F7" s="433">
        <f>E7*(1+F5)</f>
        <v>1.057812</v>
      </c>
      <c r="G7" s="433">
        <f>F7*(1+G5)</f>
        <v>1.085315112</v>
      </c>
      <c r="H7" s="422"/>
      <c r="I7" s="422"/>
    </row>
    <row r="8" spans="2:12" x14ac:dyDescent="0.25">
      <c r="B8" s="422"/>
      <c r="C8" s="424" t="s">
        <v>609</v>
      </c>
      <c r="D8" s="422"/>
      <c r="E8" s="422"/>
      <c r="F8" s="422"/>
      <c r="G8" s="422"/>
      <c r="H8" s="422"/>
      <c r="I8" s="423" t="s">
        <v>610</v>
      </c>
    </row>
    <row r="9" spans="2:12" x14ac:dyDescent="0.25">
      <c r="B9" s="422" t="s">
        <v>611</v>
      </c>
      <c r="C9" s="434">
        <v>300900280.48837513</v>
      </c>
      <c r="D9" s="435">
        <f>$C$9*D7*D3</f>
        <v>0</v>
      </c>
      <c r="E9" s="435">
        <f>$C$9*E7*E3</f>
        <v>92887916.586761385</v>
      </c>
      <c r="F9" s="435">
        <f>$C$9*F7*F3</f>
        <v>111403574.62638918</v>
      </c>
      <c r="G9" s="435">
        <f>$C$9*G7*G3</f>
        <v>114300067.56667529</v>
      </c>
      <c r="H9" s="422"/>
      <c r="I9" s="436">
        <f>SUM(D9:G9)</f>
        <v>318591558.77982587</v>
      </c>
    </row>
    <row r="10" spans="2:12" x14ac:dyDescent="0.25">
      <c r="B10" s="422"/>
      <c r="C10" s="437"/>
      <c r="D10" s="422"/>
      <c r="E10" s="422"/>
      <c r="F10" s="422"/>
      <c r="G10" s="422"/>
      <c r="H10" s="422"/>
      <c r="I10" s="438">
        <f>I9/C9</f>
        <v>1.0587944892000001</v>
      </c>
      <c r="L10" s="439"/>
    </row>
    <row r="11" spans="2:12" x14ac:dyDescent="0.25">
      <c r="B11" s="422"/>
      <c r="C11" s="440"/>
      <c r="D11" s="422"/>
      <c r="E11" s="422"/>
      <c r="F11" s="422"/>
      <c r="G11" s="422"/>
      <c r="H11" s="422"/>
      <c r="I11" s="428" t="s">
        <v>612</v>
      </c>
    </row>
    <row r="13" spans="2:12" x14ac:dyDescent="0.25">
      <c r="I13" s="441"/>
    </row>
    <row r="15" spans="2:12" ht="16.5" x14ac:dyDescent="0.3">
      <c r="B15" s="671"/>
      <c r="C15" s="671"/>
      <c r="D15" s="671"/>
      <c r="E15" s="671"/>
      <c r="F15" s="671"/>
      <c r="G15" s="671"/>
      <c r="H15" s="671"/>
    </row>
    <row r="16" spans="2:12" x14ac:dyDescent="0.25">
      <c r="B16" s="672"/>
      <c r="C16" s="672"/>
      <c r="D16" s="672"/>
      <c r="E16" s="672"/>
      <c r="F16" s="672"/>
      <c r="G16" s="672"/>
      <c r="H16" s="672"/>
    </row>
    <row r="17" spans="2:8" ht="16.5" x14ac:dyDescent="0.3">
      <c r="B17" s="671"/>
      <c r="C17" s="671"/>
      <c r="D17" s="671"/>
      <c r="E17" s="671"/>
      <c r="F17" s="671"/>
      <c r="G17" s="442"/>
      <c r="H17" s="442"/>
    </row>
    <row r="18" spans="2:8" ht="18" x14ac:dyDescent="0.25">
      <c r="B18" s="443"/>
      <c r="C18" s="442"/>
      <c r="D18" s="442"/>
      <c r="E18" s="442"/>
      <c r="F18" s="442"/>
      <c r="G18" s="442"/>
      <c r="H18" s="442"/>
    </row>
    <row r="19" spans="2:8" ht="15.75" x14ac:dyDescent="0.25">
      <c r="B19" s="673"/>
      <c r="C19" s="673"/>
      <c r="D19" s="673"/>
      <c r="E19" s="673"/>
      <c r="F19" s="673"/>
      <c r="G19" s="673"/>
      <c r="H19" s="673"/>
    </row>
    <row r="20" spans="2:8" ht="15.75" x14ac:dyDescent="0.25">
      <c r="B20" s="444"/>
      <c r="C20" s="445"/>
      <c r="D20" s="445"/>
      <c r="E20" s="445"/>
      <c r="F20" s="445"/>
      <c r="G20" s="445"/>
      <c r="H20" s="445"/>
    </row>
    <row r="21" spans="2:8" ht="15.75" x14ac:dyDescent="0.25">
      <c r="B21" s="446"/>
      <c r="C21" s="447"/>
      <c r="D21" s="447"/>
      <c r="E21" s="447"/>
      <c r="F21" s="447"/>
      <c r="G21" s="447"/>
      <c r="H21" s="447"/>
    </row>
    <row r="22" spans="2:8" ht="15.75" x14ac:dyDescent="0.25">
      <c r="B22" s="444"/>
      <c r="C22" s="448"/>
      <c r="D22" s="449"/>
      <c r="E22" s="448"/>
      <c r="F22" s="448"/>
      <c r="G22" s="448"/>
      <c r="H22" s="449"/>
    </row>
    <row r="23" spans="2:8" ht="15.75" x14ac:dyDescent="0.25">
      <c r="B23" s="444"/>
      <c r="C23" s="450"/>
      <c r="D23" s="450"/>
      <c r="E23" s="450"/>
      <c r="F23" s="450"/>
      <c r="G23" s="450"/>
      <c r="H23" s="450"/>
    </row>
    <row r="24" spans="2:8" ht="15.75" x14ac:dyDescent="0.25">
      <c r="B24" s="444"/>
      <c r="C24" s="451"/>
      <c r="D24" s="451"/>
      <c r="E24" s="451"/>
      <c r="F24" s="448"/>
      <c r="G24" s="451"/>
      <c r="H24" s="448"/>
    </row>
    <row r="25" spans="2:8" ht="15.75" x14ac:dyDescent="0.25">
      <c r="B25" s="452"/>
      <c r="C25" s="453"/>
      <c r="D25" s="453"/>
      <c r="E25" s="451"/>
      <c r="F25" s="448"/>
      <c r="G25" s="451"/>
      <c r="H25" s="448"/>
    </row>
    <row r="26" spans="2:8" ht="15.75" x14ac:dyDescent="0.25">
      <c r="B26" s="444"/>
      <c r="C26" s="451"/>
      <c r="D26" s="451"/>
      <c r="E26" s="451"/>
      <c r="F26" s="449"/>
      <c r="G26" s="451"/>
      <c r="H26" s="448"/>
    </row>
    <row r="27" spans="2:8" ht="15.75" x14ac:dyDescent="0.25">
      <c r="B27" s="444"/>
      <c r="C27" s="451"/>
      <c r="D27" s="451"/>
      <c r="E27" s="451"/>
      <c r="F27" s="448"/>
      <c r="G27" s="451"/>
      <c r="H27" s="448"/>
    </row>
    <row r="28" spans="2:8" ht="15.75" x14ac:dyDescent="0.25">
      <c r="B28" s="444"/>
      <c r="C28" s="451"/>
      <c r="D28" s="451"/>
      <c r="E28" s="453"/>
      <c r="F28" s="448"/>
      <c r="G28" s="453"/>
      <c r="H28" s="449"/>
    </row>
    <row r="29" spans="2:8" ht="15.75" x14ac:dyDescent="0.25">
      <c r="B29" s="444"/>
      <c r="C29" s="451"/>
      <c r="D29" s="453"/>
      <c r="E29" s="451"/>
      <c r="F29" s="448"/>
      <c r="G29" s="453"/>
      <c r="H29" s="448"/>
    </row>
    <row r="30" spans="2:8" ht="15.75" x14ac:dyDescent="0.25">
      <c r="B30" s="444"/>
      <c r="C30" s="451"/>
      <c r="D30" s="451"/>
      <c r="E30" s="451"/>
      <c r="F30" s="448"/>
      <c r="G30" s="451"/>
      <c r="H30" s="449"/>
    </row>
    <row r="31" spans="2:8" ht="15.75" x14ac:dyDescent="0.25">
      <c r="B31" s="444"/>
      <c r="C31" s="454"/>
      <c r="D31" s="447"/>
      <c r="E31" s="447"/>
      <c r="F31" s="454"/>
      <c r="G31" s="454"/>
      <c r="H31" s="447"/>
    </row>
    <row r="32" spans="2:8" ht="15.75" x14ac:dyDescent="0.25">
      <c r="B32" s="444"/>
      <c r="C32" s="451"/>
      <c r="D32" s="451"/>
      <c r="E32" s="451"/>
      <c r="F32" s="448"/>
      <c r="G32" s="451"/>
      <c r="H32" s="448"/>
    </row>
    <row r="33" spans="2:8" ht="15.75" x14ac:dyDescent="0.25">
      <c r="B33" s="444"/>
      <c r="C33" s="451"/>
      <c r="D33" s="451"/>
      <c r="E33" s="451"/>
      <c r="F33" s="448"/>
      <c r="G33" s="451"/>
      <c r="H33" s="448"/>
    </row>
    <row r="34" spans="2:8" ht="15.75" x14ac:dyDescent="0.25">
      <c r="B34" s="444"/>
      <c r="C34" s="451"/>
      <c r="D34" s="451"/>
      <c r="E34" s="451"/>
      <c r="F34" s="448"/>
      <c r="G34" s="451"/>
      <c r="H34" s="448"/>
    </row>
    <row r="35" spans="2:8" ht="15.75" x14ac:dyDescent="0.25">
      <c r="B35" s="444"/>
      <c r="C35" s="455"/>
      <c r="D35" s="456"/>
      <c r="E35" s="456"/>
      <c r="F35" s="456"/>
      <c r="G35" s="456"/>
      <c r="H35" s="456"/>
    </row>
    <row r="36" spans="2:8" ht="15.75" x14ac:dyDescent="0.25">
      <c r="B36" s="444"/>
      <c r="C36" s="447"/>
      <c r="D36" s="447"/>
      <c r="E36" s="447"/>
      <c r="F36" s="447"/>
      <c r="G36" s="447"/>
      <c r="H36" s="447"/>
    </row>
    <row r="37" spans="2:8" ht="15.75" x14ac:dyDescent="0.25">
      <c r="B37" s="444"/>
      <c r="C37" s="455"/>
      <c r="D37" s="456"/>
      <c r="E37" s="456"/>
      <c r="F37" s="456"/>
      <c r="G37" s="456"/>
      <c r="H37" s="456"/>
    </row>
    <row r="38" spans="2:8" ht="15.75" x14ac:dyDescent="0.25">
      <c r="B38" s="444"/>
      <c r="C38" s="451"/>
      <c r="D38" s="453"/>
      <c r="E38" s="451"/>
      <c r="F38" s="451"/>
      <c r="G38" s="451"/>
      <c r="H38" s="451"/>
    </row>
    <row r="39" spans="2:8" ht="15.75" x14ac:dyDescent="0.25">
      <c r="B39" s="444"/>
      <c r="C39" s="455"/>
      <c r="D39" s="456"/>
      <c r="E39" s="456"/>
      <c r="F39" s="456"/>
      <c r="G39" s="456"/>
      <c r="H39" s="456"/>
    </row>
    <row r="40" spans="2:8" ht="15.75" x14ac:dyDescent="0.25">
      <c r="B40" s="444"/>
      <c r="C40" s="456"/>
      <c r="D40" s="456"/>
      <c r="E40" s="456"/>
      <c r="F40" s="456"/>
      <c r="G40" s="456"/>
      <c r="H40" s="456"/>
    </row>
    <row r="41" spans="2:8" ht="15.75" x14ac:dyDescent="0.25">
      <c r="B41" s="444"/>
      <c r="C41" s="447"/>
      <c r="D41" s="447"/>
      <c r="E41" s="447"/>
      <c r="F41" s="454"/>
      <c r="G41" s="447"/>
      <c r="H41" s="447"/>
    </row>
    <row r="42" spans="2:8" ht="15.75" x14ac:dyDescent="0.25">
      <c r="B42" s="444"/>
      <c r="C42" s="448"/>
      <c r="D42" s="448"/>
      <c r="E42" s="448"/>
      <c r="F42" s="448"/>
      <c r="G42" s="448"/>
      <c r="H42" s="448"/>
    </row>
    <row r="43" spans="2:8" ht="15.75" x14ac:dyDescent="0.25">
      <c r="B43" s="444"/>
      <c r="C43" s="448"/>
      <c r="D43" s="451"/>
      <c r="E43" s="457"/>
      <c r="F43" s="458"/>
      <c r="G43" s="458"/>
      <c r="H43" s="458"/>
    </row>
    <row r="44" spans="2:8" ht="15.75" x14ac:dyDescent="0.25">
      <c r="B44" s="444"/>
      <c r="C44" s="448"/>
      <c r="D44" s="451"/>
      <c r="E44" s="459"/>
      <c r="F44" s="459"/>
      <c r="G44" s="459"/>
      <c r="H44" s="459"/>
    </row>
    <row r="45" spans="2:8" ht="15.75" x14ac:dyDescent="0.25">
      <c r="B45" s="444"/>
      <c r="C45" s="448"/>
      <c r="D45" s="449"/>
      <c r="E45" s="448"/>
      <c r="F45" s="448"/>
      <c r="G45" s="449"/>
      <c r="H45" s="448"/>
    </row>
  </sheetData>
  <mergeCells count="4">
    <mergeCell ref="B15:H15"/>
    <mergeCell ref="B16:H16"/>
    <mergeCell ref="B17:F17"/>
    <mergeCell ref="B19:H19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BJ991"/>
  <sheetViews>
    <sheetView topLeftCell="A145" zoomScale="115" zoomScaleNormal="115" workbookViewId="0">
      <selection activeCell="D161" sqref="D161"/>
    </sheetView>
  </sheetViews>
  <sheetFormatPr defaultColWidth="9.140625" defaultRowHeight="15" x14ac:dyDescent="0.25"/>
  <cols>
    <col min="1" max="1" width="9.140625" style="377"/>
    <col min="2" max="2" width="17.7109375" style="378" bestFit="1" customWidth="1"/>
    <col min="3" max="7" width="13.140625" style="378" customWidth="1"/>
    <col min="8" max="8" width="14.42578125" style="378" customWidth="1"/>
    <col min="9" max="9" width="13.5703125" style="378" customWidth="1"/>
    <col min="10" max="10" width="13.42578125" style="379" customWidth="1"/>
    <col min="11" max="62" width="9.140625" style="379"/>
    <col min="63" max="16384" width="9.140625" style="378"/>
  </cols>
  <sheetData>
    <row r="1" spans="1:62" ht="6" customHeight="1" x14ac:dyDescent="0.25"/>
    <row r="2" spans="1:62" s="383" customFormat="1" ht="13.5" customHeight="1" x14ac:dyDescent="0.25">
      <c r="A2" s="380"/>
      <c r="B2" s="676" t="s">
        <v>546</v>
      </c>
      <c r="C2" s="676"/>
      <c r="D2" s="676"/>
      <c r="E2" s="676"/>
      <c r="F2" s="676"/>
      <c r="G2" s="381"/>
      <c r="H2" s="381"/>
      <c r="I2" s="381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</row>
    <row r="3" spans="1:62" s="383" customFormat="1" ht="7.5" customHeight="1" thickBot="1" x14ac:dyDescent="0.3">
      <c r="A3" s="380"/>
      <c r="B3" s="384"/>
      <c r="C3" s="385"/>
      <c r="D3" s="385"/>
      <c r="E3" s="381"/>
      <c r="F3" s="381"/>
      <c r="G3" s="381"/>
      <c r="H3" s="381"/>
      <c r="I3" s="381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2"/>
      <c r="AD3" s="382"/>
      <c r="AE3" s="382"/>
      <c r="AF3" s="382"/>
      <c r="AG3" s="382"/>
      <c r="AH3" s="382"/>
      <c r="AI3" s="382"/>
      <c r="AJ3" s="382"/>
      <c r="AK3" s="382"/>
      <c r="AL3" s="382"/>
      <c r="AM3" s="382"/>
      <c r="AN3" s="382"/>
      <c r="AO3" s="382"/>
      <c r="AP3" s="382"/>
      <c r="AQ3" s="382"/>
      <c r="AR3" s="382"/>
      <c r="AS3" s="382"/>
      <c r="AT3" s="382"/>
      <c r="AU3" s="382"/>
      <c r="AV3" s="382"/>
      <c r="AW3" s="382"/>
      <c r="AX3" s="382"/>
      <c r="AY3" s="382"/>
      <c r="AZ3" s="382"/>
      <c r="BA3" s="382"/>
      <c r="BB3" s="382"/>
      <c r="BC3" s="382"/>
      <c r="BD3" s="382"/>
      <c r="BE3" s="382"/>
      <c r="BF3" s="382"/>
      <c r="BG3" s="382"/>
      <c r="BH3" s="382"/>
      <c r="BI3" s="382"/>
      <c r="BJ3" s="382"/>
    </row>
    <row r="4" spans="1:62" s="383" customFormat="1" ht="17.25" thickBot="1" x14ac:dyDescent="0.3">
      <c r="A4" s="386" t="s">
        <v>334</v>
      </c>
      <c r="B4" s="384"/>
      <c r="C4" s="677" t="s">
        <v>547</v>
      </c>
      <c r="D4" s="678"/>
      <c r="E4" s="381"/>
      <c r="F4" s="381"/>
      <c r="G4" s="387"/>
      <c r="H4" s="388"/>
      <c r="I4" s="387"/>
      <c r="J4" s="382"/>
      <c r="K4" s="382"/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  <c r="AB4" s="382"/>
      <c r="AC4" s="382"/>
      <c r="AD4" s="382"/>
      <c r="AE4" s="382"/>
      <c r="AF4" s="382"/>
      <c r="AG4" s="382"/>
      <c r="AH4" s="382"/>
      <c r="AI4" s="382"/>
      <c r="AJ4" s="382"/>
      <c r="AK4" s="382"/>
      <c r="AL4" s="382"/>
      <c r="AM4" s="382"/>
      <c r="AN4" s="382"/>
      <c r="AO4" s="382"/>
      <c r="AP4" s="382"/>
      <c r="AQ4" s="382"/>
      <c r="AR4" s="382"/>
      <c r="AS4" s="382"/>
      <c r="AT4" s="382"/>
      <c r="AU4" s="382"/>
      <c r="AV4" s="382"/>
      <c r="AW4" s="382"/>
      <c r="AX4" s="382"/>
      <c r="AY4" s="382"/>
      <c r="AZ4" s="382"/>
      <c r="BA4" s="382"/>
      <c r="BB4" s="382"/>
      <c r="BC4" s="382"/>
      <c r="BD4" s="382"/>
      <c r="BE4" s="382"/>
      <c r="BF4" s="382"/>
      <c r="BG4" s="382"/>
      <c r="BH4" s="382"/>
      <c r="BI4" s="382"/>
      <c r="BJ4" s="382"/>
    </row>
    <row r="5" spans="1:62" s="383" customFormat="1" ht="16.5" x14ac:dyDescent="0.25">
      <c r="A5" s="386" t="s">
        <v>333</v>
      </c>
      <c r="B5" s="389"/>
      <c r="C5" s="390"/>
      <c r="D5" s="390"/>
      <c r="E5" s="390"/>
      <c r="F5" s="390"/>
      <c r="I5" s="390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2"/>
      <c r="AF5" s="382"/>
      <c r="AG5" s="382"/>
      <c r="AH5" s="382"/>
      <c r="AI5" s="382"/>
      <c r="AJ5" s="382"/>
      <c r="AK5" s="382"/>
      <c r="AL5" s="382"/>
      <c r="AM5" s="382"/>
      <c r="AN5" s="382"/>
      <c r="AO5" s="382"/>
      <c r="AP5" s="382"/>
      <c r="AQ5" s="382"/>
      <c r="AR5" s="382"/>
      <c r="AS5" s="382"/>
      <c r="AT5" s="382"/>
      <c r="AU5" s="382"/>
      <c r="AV5" s="382"/>
      <c r="AW5" s="382"/>
      <c r="AX5" s="382"/>
      <c r="AY5" s="382"/>
      <c r="AZ5" s="382"/>
      <c r="BA5" s="382"/>
      <c r="BB5" s="382"/>
      <c r="BC5" s="382"/>
      <c r="BD5" s="382"/>
      <c r="BE5" s="382"/>
      <c r="BF5" s="382"/>
      <c r="BG5" s="382"/>
      <c r="BH5" s="382"/>
      <c r="BI5" s="382"/>
      <c r="BJ5" s="382"/>
    </row>
    <row r="6" spans="1:62" s="383" customFormat="1" ht="16.5" x14ac:dyDescent="0.25">
      <c r="A6" s="386" t="s">
        <v>548</v>
      </c>
      <c r="B6" s="391"/>
      <c r="C6" s="390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382"/>
      <c r="AQ6" s="382"/>
      <c r="AR6" s="382"/>
      <c r="AS6" s="382"/>
      <c r="AT6" s="382"/>
      <c r="AU6" s="382"/>
      <c r="AV6" s="382"/>
      <c r="AW6" s="382"/>
      <c r="AX6" s="382"/>
      <c r="AY6" s="382"/>
      <c r="AZ6" s="382"/>
      <c r="BA6" s="382"/>
      <c r="BB6" s="382"/>
      <c r="BC6" s="382"/>
      <c r="BD6" s="382"/>
      <c r="BE6" s="382"/>
      <c r="BF6" s="382"/>
      <c r="BG6" s="382"/>
      <c r="BH6" s="382"/>
      <c r="BI6" s="382"/>
      <c r="BJ6" s="382"/>
    </row>
    <row r="7" spans="1:62" ht="7.5" customHeight="1" x14ac:dyDescent="0.25">
      <c r="A7" s="392"/>
      <c r="B7" s="393"/>
      <c r="C7" s="394"/>
      <c r="D7" s="394"/>
      <c r="E7" s="394"/>
      <c r="F7" s="394"/>
      <c r="G7" s="394"/>
      <c r="H7" s="394"/>
      <c r="I7" s="394"/>
    </row>
    <row r="8" spans="1:62" ht="14.25" customHeight="1" x14ac:dyDescent="0.25">
      <c r="A8" s="679" t="s">
        <v>12</v>
      </c>
      <c r="B8" s="674" t="s">
        <v>13</v>
      </c>
      <c r="C8" s="674" t="s">
        <v>549</v>
      </c>
      <c r="D8" s="395" t="s">
        <v>330</v>
      </c>
      <c r="E8" s="395" t="s">
        <v>329</v>
      </c>
      <c r="F8" s="395" t="s">
        <v>328</v>
      </c>
      <c r="G8" s="395" t="s">
        <v>357</v>
      </c>
      <c r="H8" s="674" t="s">
        <v>327</v>
      </c>
      <c r="I8" s="674"/>
    </row>
    <row r="9" spans="1:62" ht="25.5" x14ac:dyDescent="0.25">
      <c r="A9" s="679"/>
      <c r="B9" s="674"/>
      <c r="C9" s="674"/>
      <c r="D9" s="395" t="s">
        <v>326</v>
      </c>
      <c r="E9" s="395" t="s">
        <v>550</v>
      </c>
      <c r="F9" s="395" t="s">
        <v>551</v>
      </c>
      <c r="G9" s="395" t="s">
        <v>552</v>
      </c>
      <c r="H9" s="395" t="s">
        <v>553</v>
      </c>
      <c r="I9" s="395" t="s">
        <v>322</v>
      </c>
    </row>
    <row r="10" spans="1:62" ht="15" customHeight="1" x14ac:dyDescent="0.25">
      <c r="A10" s="679"/>
      <c r="B10" s="674"/>
      <c r="C10" s="395" t="s">
        <v>554</v>
      </c>
      <c r="D10" s="395" t="s">
        <v>554</v>
      </c>
      <c r="E10" s="395" t="s">
        <v>554</v>
      </c>
      <c r="F10" s="395" t="s">
        <v>554</v>
      </c>
      <c r="G10" s="395" t="s">
        <v>554</v>
      </c>
      <c r="H10" s="395" t="s">
        <v>554</v>
      </c>
      <c r="I10" s="395" t="s">
        <v>554</v>
      </c>
    </row>
    <row r="11" spans="1:62" x14ac:dyDescent="0.25">
      <c r="A11" s="396">
        <v>1</v>
      </c>
      <c r="B11" s="397" t="s">
        <v>555</v>
      </c>
      <c r="C11" s="396">
        <f t="shared" ref="C11:I11" si="0">SUM(C12:C13)</f>
        <v>13880595</v>
      </c>
      <c r="D11" s="396">
        <f t="shared" si="0"/>
        <v>13880595</v>
      </c>
      <c r="E11" s="396">
        <f t="shared" si="0"/>
        <v>0</v>
      </c>
      <c r="F11" s="396">
        <f t="shared" si="0"/>
        <v>0</v>
      </c>
      <c r="G11" s="396">
        <f t="shared" si="0"/>
        <v>0</v>
      </c>
      <c r="H11" s="396">
        <f t="shared" si="0"/>
        <v>13880595</v>
      </c>
      <c r="I11" s="396">
        <f t="shared" si="0"/>
        <v>0</v>
      </c>
      <c r="J11" s="398"/>
    </row>
    <row r="12" spans="1:62" s="404" customFormat="1" ht="15" customHeight="1" x14ac:dyDescent="0.2">
      <c r="A12" s="399">
        <f>A11+0.1</f>
        <v>1.1000000000000001</v>
      </c>
      <c r="B12" s="400" t="s">
        <v>17</v>
      </c>
      <c r="C12" s="401">
        <f>SUM(H12:I12)</f>
        <v>10094149</v>
      </c>
      <c r="D12" s="401">
        <f>'[11]7.3.3.'!J10</f>
        <v>10094149</v>
      </c>
      <c r="E12" s="401">
        <f>'[11]7.3.3.'!K10</f>
        <v>0</v>
      </c>
      <c r="F12" s="401">
        <f>'[11]7.3.3.'!L10</f>
        <v>0</v>
      </c>
      <c r="G12" s="401">
        <f>'[11]7.3.3.'!M10</f>
        <v>0</v>
      </c>
      <c r="H12" s="401">
        <f>'[11]7.3.3.'!N10</f>
        <v>10094149</v>
      </c>
      <c r="I12" s="401">
        <f>'[11]7.3.3.'!O10</f>
        <v>0</v>
      </c>
      <c r="J12" s="402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3"/>
      <c r="AC12" s="403"/>
      <c r="AD12" s="403"/>
      <c r="AE12" s="403"/>
      <c r="AF12" s="403"/>
      <c r="AG12" s="403"/>
      <c r="AH12" s="403"/>
      <c r="AI12" s="403"/>
      <c r="AJ12" s="403"/>
      <c r="AK12" s="403"/>
      <c r="AL12" s="403"/>
      <c r="AM12" s="403"/>
      <c r="AN12" s="403"/>
      <c r="AO12" s="403"/>
      <c r="AP12" s="403"/>
      <c r="AQ12" s="403"/>
      <c r="AR12" s="403"/>
      <c r="AS12" s="403"/>
      <c r="AT12" s="403"/>
      <c r="AU12" s="403"/>
      <c r="AV12" s="403"/>
      <c r="AW12" s="403"/>
      <c r="AX12" s="403"/>
      <c r="AY12" s="403"/>
      <c r="AZ12" s="403"/>
      <c r="BA12" s="403"/>
      <c r="BB12" s="403"/>
      <c r="BC12" s="403"/>
      <c r="BD12" s="403"/>
      <c r="BE12" s="403"/>
      <c r="BF12" s="403"/>
      <c r="BG12" s="403"/>
      <c r="BH12" s="403"/>
      <c r="BI12" s="403"/>
      <c r="BJ12" s="403"/>
    </row>
    <row r="13" spans="1:62" s="409" customFormat="1" ht="15" customHeight="1" x14ac:dyDescent="0.2">
      <c r="A13" s="405">
        <f>A12+0.1</f>
        <v>1.2000000000000002</v>
      </c>
      <c r="B13" s="406" t="s">
        <v>19</v>
      </c>
      <c r="C13" s="401">
        <f>SUM(H13:I13)</f>
        <v>3786446</v>
      </c>
      <c r="D13" s="401">
        <f>'[11]7.3.3.'!J20</f>
        <v>3786446</v>
      </c>
      <c r="E13" s="401">
        <f>'[11]7.3.3.'!K20</f>
        <v>0</v>
      </c>
      <c r="F13" s="401">
        <f>'[11]7.3.3.'!L20</f>
        <v>0</v>
      </c>
      <c r="G13" s="401">
        <f>'[11]7.3.3.'!M20</f>
        <v>0</v>
      </c>
      <c r="H13" s="401">
        <f>'[11]7.3.3.'!N20</f>
        <v>3786446</v>
      </c>
      <c r="I13" s="401">
        <f>'[11]7.3.3.'!O20</f>
        <v>0</v>
      </c>
      <c r="J13" s="407"/>
      <c r="K13" s="408"/>
      <c r="L13" s="408"/>
      <c r="M13" s="408"/>
      <c r="N13" s="408"/>
      <c r="O13" s="408"/>
      <c r="P13" s="408"/>
      <c r="Q13" s="408"/>
      <c r="R13" s="408"/>
      <c r="S13" s="408"/>
      <c r="T13" s="408"/>
      <c r="U13" s="408"/>
      <c r="V13" s="408"/>
      <c r="W13" s="408"/>
      <c r="X13" s="408"/>
      <c r="Y13" s="408"/>
      <c r="Z13" s="408"/>
      <c r="AA13" s="408"/>
      <c r="AB13" s="408"/>
      <c r="AC13" s="408"/>
      <c r="AD13" s="408"/>
      <c r="AE13" s="408"/>
      <c r="AF13" s="408"/>
      <c r="AG13" s="408"/>
      <c r="AH13" s="408"/>
      <c r="AI13" s="408"/>
      <c r="AJ13" s="408"/>
      <c r="AK13" s="408"/>
      <c r="AL13" s="408"/>
      <c r="AM13" s="408"/>
      <c r="AN13" s="408"/>
      <c r="AO13" s="408"/>
      <c r="AP13" s="408"/>
      <c r="AQ13" s="408"/>
      <c r="AR13" s="408"/>
      <c r="AS13" s="408"/>
      <c r="AT13" s="408"/>
      <c r="AU13" s="408"/>
      <c r="AV13" s="408"/>
      <c r="AW13" s="408"/>
      <c r="AX13" s="408"/>
      <c r="AY13" s="408"/>
      <c r="AZ13" s="408"/>
      <c r="BA13" s="408"/>
      <c r="BB13" s="408"/>
      <c r="BC13" s="408"/>
      <c r="BD13" s="408"/>
      <c r="BE13" s="408"/>
      <c r="BF13" s="408"/>
      <c r="BG13" s="408"/>
      <c r="BH13" s="408"/>
      <c r="BI13" s="408"/>
      <c r="BJ13" s="408"/>
    </row>
    <row r="14" spans="1:62" x14ac:dyDescent="0.25">
      <c r="A14" s="396">
        <f>A11+1</f>
        <v>2</v>
      </c>
      <c r="B14" s="397" t="s">
        <v>556</v>
      </c>
      <c r="C14" s="396">
        <f t="shared" ref="C14:I14" si="1">SUM(C15:C16)</f>
        <v>5406511</v>
      </c>
      <c r="D14" s="396">
        <f t="shared" si="1"/>
        <v>5406511</v>
      </c>
      <c r="E14" s="396">
        <f t="shared" si="1"/>
        <v>0</v>
      </c>
      <c r="F14" s="396">
        <f t="shared" si="1"/>
        <v>0</v>
      </c>
      <c r="G14" s="396">
        <f t="shared" si="1"/>
        <v>0</v>
      </c>
      <c r="H14" s="396">
        <f t="shared" si="1"/>
        <v>5406511</v>
      </c>
      <c r="I14" s="396">
        <f t="shared" si="1"/>
        <v>0</v>
      </c>
      <c r="J14" s="398"/>
    </row>
    <row r="15" spans="1:62" s="404" customFormat="1" ht="15" customHeight="1" x14ac:dyDescent="0.2">
      <c r="A15" s="399">
        <f>A14+0.1</f>
        <v>2.1</v>
      </c>
      <c r="B15" s="400" t="s">
        <v>17</v>
      </c>
      <c r="C15" s="401">
        <f>'[11]7.3.3.'!$I$41</f>
        <v>4446320</v>
      </c>
      <c r="D15" s="401">
        <f>'[11]7.3.3.'!$J$41</f>
        <v>4446320</v>
      </c>
      <c r="E15" s="401">
        <f>'[11]7.3.3.'!K41</f>
        <v>0</v>
      </c>
      <c r="F15" s="401">
        <f>'[11]7.3.3.'!L41</f>
        <v>0</v>
      </c>
      <c r="G15" s="401">
        <f>'[11]7.3.3.'!M41</f>
        <v>0</v>
      </c>
      <c r="H15" s="401">
        <f>'[11]7.3.3.'!N41</f>
        <v>4446320</v>
      </c>
      <c r="I15" s="401">
        <f>'[11]7.3.3.'!O41</f>
        <v>0</v>
      </c>
      <c r="J15" s="402"/>
      <c r="K15" s="403"/>
      <c r="L15" s="403"/>
      <c r="M15" s="403"/>
      <c r="N15" s="403"/>
      <c r="O15" s="403"/>
      <c r="P15" s="403"/>
      <c r="Q15" s="403"/>
      <c r="R15" s="403"/>
      <c r="S15" s="403"/>
      <c r="T15" s="403"/>
      <c r="U15" s="403"/>
      <c r="V15" s="403"/>
      <c r="W15" s="403"/>
      <c r="X15" s="403"/>
      <c r="Y15" s="403"/>
      <c r="Z15" s="403"/>
      <c r="AA15" s="403"/>
      <c r="AB15" s="403"/>
      <c r="AC15" s="403"/>
      <c r="AD15" s="403"/>
      <c r="AE15" s="403"/>
      <c r="AF15" s="403"/>
      <c r="AG15" s="403"/>
      <c r="AH15" s="403"/>
      <c r="AI15" s="403"/>
      <c r="AJ15" s="403"/>
      <c r="AK15" s="403"/>
      <c r="AL15" s="403"/>
      <c r="AM15" s="403"/>
      <c r="AN15" s="403"/>
      <c r="AO15" s="403"/>
      <c r="AP15" s="403"/>
      <c r="AQ15" s="403"/>
      <c r="AR15" s="403"/>
      <c r="AS15" s="403"/>
      <c r="AT15" s="403"/>
      <c r="AU15" s="403"/>
      <c r="AV15" s="403"/>
      <c r="AW15" s="403"/>
      <c r="AX15" s="403"/>
      <c r="AY15" s="403"/>
      <c r="AZ15" s="403"/>
      <c r="BA15" s="403"/>
      <c r="BB15" s="403"/>
      <c r="BC15" s="403"/>
      <c r="BD15" s="403"/>
      <c r="BE15" s="403"/>
      <c r="BF15" s="403"/>
      <c r="BG15" s="403"/>
      <c r="BH15" s="403"/>
      <c r="BI15" s="403"/>
      <c r="BJ15" s="403"/>
    </row>
    <row r="16" spans="1:62" s="409" customFormat="1" ht="15" customHeight="1" x14ac:dyDescent="0.2">
      <c r="A16" s="405">
        <f>A15+0.1</f>
        <v>2.2000000000000002</v>
      </c>
      <c r="B16" s="406" t="s">
        <v>19</v>
      </c>
      <c r="C16" s="401">
        <f>'[11]7.3.3.'!I54</f>
        <v>960191</v>
      </c>
      <c r="D16" s="401">
        <f>'[11]7.3.3.'!J54</f>
        <v>960191</v>
      </c>
      <c r="E16" s="401">
        <f>'[11]7.3.3.'!K54</f>
        <v>0</v>
      </c>
      <c r="F16" s="401">
        <f>'[11]7.3.3.'!L54</f>
        <v>0</v>
      </c>
      <c r="G16" s="401">
        <f>'[11]7.3.3.'!M54</f>
        <v>0</v>
      </c>
      <c r="H16" s="401">
        <f>'[11]7.3.3.'!N54</f>
        <v>960191</v>
      </c>
      <c r="I16" s="401">
        <f>'[11]7.3.3.'!O54</f>
        <v>0</v>
      </c>
      <c r="J16" s="407"/>
      <c r="K16" s="408"/>
      <c r="L16" s="408"/>
      <c r="M16" s="408"/>
      <c r="N16" s="408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408"/>
      <c r="Z16" s="408"/>
      <c r="AA16" s="408"/>
      <c r="AB16" s="408"/>
      <c r="AC16" s="408"/>
      <c r="AD16" s="408"/>
      <c r="AE16" s="408"/>
      <c r="AF16" s="408"/>
      <c r="AG16" s="408"/>
      <c r="AH16" s="408"/>
      <c r="AI16" s="408"/>
      <c r="AJ16" s="408"/>
      <c r="AK16" s="408"/>
      <c r="AL16" s="408"/>
      <c r="AM16" s="408"/>
      <c r="AN16" s="408"/>
      <c r="AO16" s="408"/>
      <c r="AP16" s="408"/>
      <c r="AQ16" s="408"/>
      <c r="AR16" s="408"/>
      <c r="AS16" s="408"/>
      <c r="AT16" s="408"/>
      <c r="AU16" s="408"/>
      <c r="AV16" s="408"/>
      <c r="AW16" s="408"/>
      <c r="AX16" s="408"/>
      <c r="AY16" s="408"/>
      <c r="AZ16" s="408"/>
      <c r="BA16" s="408"/>
      <c r="BB16" s="408"/>
      <c r="BC16" s="408"/>
      <c r="BD16" s="408"/>
      <c r="BE16" s="408"/>
      <c r="BF16" s="408"/>
      <c r="BG16" s="408"/>
      <c r="BH16" s="408"/>
      <c r="BI16" s="408"/>
      <c r="BJ16" s="408"/>
    </row>
    <row r="17" spans="1:62" x14ac:dyDescent="0.25">
      <c r="A17" s="396">
        <f>A14+1</f>
        <v>3</v>
      </c>
      <c r="B17" s="397" t="s">
        <v>557</v>
      </c>
      <c r="C17" s="396">
        <f t="shared" ref="C17:I17" si="2">SUM(C18:C19)</f>
        <v>9138257</v>
      </c>
      <c r="D17" s="396">
        <f t="shared" si="2"/>
        <v>7366485</v>
      </c>
      <c r="E17" s="396">
        <f t="shared" si="2"/>
        <v>1771772</v>
      </c>
      <c r="F17" s="396">
        <f t="shared" si="2"/>
        <v>0</v>
      </c>
      <c r="G17" s="396">
        <f t="shared" si="2"/>
        <v>0</v>
      </c>
      <c r="H17" s="396">
        <f t="shared" si="2"/>
        <v>7366485</v>
      </c>
      <c r="I17" s="396">
        <f t="shared" si="2"/>
        <v>1771772</v>
      </c>
      <c r="J17" s="398"/>
    </row>
    <row r="18" spans="1:62" s="404" customFormat="1" ht="15" customHeight="1" x14ac:dyDescent="0.2">
      <c r="A18" s="399">
        <f>A17+0.1</f>
        <v>3.1</v>
      </c>
      <c r="B18" s="400" t="s">
        <v>17</v>
      </c>
      <c r="C18" s="401">
        <f>'[11]7.3.3.'!I68</f>
        <v>4259248</v>
      </c>
      <c r="D18" s="401">
        <f>'[11]7.3.3.'!J68</f>
        <v>4259248</v>
      </c>
      <c r="E18" s="401">
        <f>'[11]7.3.3.'!K68</f>
        <v>0</v>
      </c>
      <c r="F18" s="401">
        <f>'[11]7.3.3.'!L68</f>
        <v>0</v>
      </c>
      <c r="G18" s="401">
        <f>'[11]7.3.3.'!M68</f>
        <v>0</v>
      </c>
      <c r="H18" s="401">
        <f>'[11]7.3.3.'!N68</f>
        <v>4259248</v>
      </c>
      <c r="I18" s="401">
        <f>'[11]7.3.3.'!O68</f>
        <v>0</v>
      </c>
      <c r="J18" s="402"/>
      <c r="K18" s="403"/>
      <c r="L18" s="403"/>
      <c r="M18" s="403"/>
      <c r="N18" s="403"/>
      <c r="O18" s="403"/>
      <c r="P18" s="403"/>
      <c r="Q18" s="403"/>
      <c r="R18" s="403"/>
      <c r="S18" s="403"/>
      <c r="T18" s="403"/>
      <c r="U18" s="403"/>
      <c r="V18" s="403"/>
      <c r="W18" s="403"/>
      <c r="X18" s="403"/>
      <c r="Y18" s="403"/>
      <c r="Z18" s="403"/>
      <c r="AA18" s="403"/>
      <c r="AB18" s="403"/>
      <c r="AC18" s="403"/>
      <c r="AD18" s="403"/>
      <c r="AE18" s="403"/>
      <c r="AF18" s="403"/>
      <c r="AG18" s="403"/>
      <c r="AH18" s="403"/>
      <c r="AI18" s="403"/>
      <c r="AJ18" s="403"/>
      <c r="AK18" s="403"/>
      <c r="AL18" s="403"/>
      <c r="AM18" s="403"/>
      <c r="AN18" s="403"/>
      <c r="AO18" s="403"/>
      <c r="AP18" s="403"/>
      <c r="AQ18" s="403"/>
      <c r="AR18" s="403"/>
      <c r="AS18" s="403"/>
      <c r="AT18" s="403"/>
      <c r="AU18" s="403"/>
      <c r="AV18" s="403"/>
      <c r="AW18" s="403"/>
      <c r="AX18" s="403"/>
      <c r="AY18" s="403"/>
      <c r="AZ18" s="403"/>
      <c r="BA18" s="403"/>
      <c r="BB18" s="403"/>
      <c r="BC18" s="403"/>
      <c r="BD18" s="403"/>
      <c r="BE18" s="403"/>
      <c r="BF18" s="403"/>
      <c r="BG18" s="403"/>
      <c r="BH18" s="403"/>
      <c r="BI18" s="403"/>
      <c r="BJ18" s="403"/>
    </row>
    <row r="19" spans="1:62" s="409" customFormat="1" ht="15" customHeight="1" x14ac:dyDescent="0.2">
      <c r="A19" s="405">
        <f>A18+0.1</f>
        <v>3.2</v>
      </c>
      <c r="B19" s="406" t="s">
        <v>19</v>
      </c>
      <c r="C19" s="401">
        <f>'[11]7.3.3.'!I92</f>
        <v>4879009</v>
      </c>
      <c r="D19" s="401">
        <f>'[11]7.3.3.'!J92</f>
        <v>3107237</v>
      </c>
      <c r="E19" s="401">
        <f>'[11]7.3.3.'!K92</f>
        <v>1771772</v>
      </c>
      <c r="F19" s="401">
        <f>'[11]7.3.3.'!L92</f>
        <v>0</v>
      </c>
      <c r="G19" s="401">
        <f>'[11]7.3.3.'!M92</f>
        <v>0</v>
      </c>
      <c r="H19" s="401">
        <f>'[11]7.3.3.'!N92</f>
        <v>3107237</v>
      </c>
      <c r="I19" s="401">
        <f>'[11]7.3.3.'!O92</f>
        <v>1771772</v>
      </c>
      <c r="J19" s="407"/>
      <c r="K19" s="408"/>
      <c r="L19" s="408"/>
      <c r="M19" s="408"/>
      <c r="N19" s="408"/>
      <c r="O19" s="408"/>
      <c r="P19" s="408"/>
      <c r="Q19" s="408"/>
      <c r="R19" s="408"/>
      <c r="S19" s="408"/>
      <c r="T19" s="408"/>
      <c r="U19" s="408"/>
      <c r="V19" s="408"/>
      <c r="W19" s="408"/>
      <c r="X19" s="408"/>
      <c r="Y19" s="408"/>
      <c r="Z19" s="408"/>
      <c r="AA19" s="408"/>
      <c r="AB19" s="408"/>
      <c r="AC19" s="408"/>
      <c r="AD19" s="408"/>
      <c r="AE19" s="408"/>
      <c r="AF19" s="408"/>
      <c r="AG19" s="408"/>
      <c r="AH19" s="408"/>
      <c r="AI19" s="408"/>
      <c r="AJ19" s="408"/>
      <c r="AK19" s="408"/>
      <c r="AL19" s="408"/>
      <c r="AM19" s="408"/>
      <c r="AN19" s="408"/>
      <c r="AO19" s="408"/>
      <c r="AP19" s="408"/>
      <c r="AQ19" s="408"/>
      <c r="AR19" s="408"/>
      <c r="AS19" s="408"/>
      <c r="AT19" s="408"/>
      <c r="AU19" s="408"/>
      <c r="AV19" s="408"/>
      <c r="AW19" s="408"/>
      <c r="AX19" s="408"/>
      <c r="AY19" s="408"/>
      <c r="AZ19" s="408"/>
      <c r="BA19" s="408"/>
      <c r="BB19" s="408"/>
      <c r="BC19" s="408"/>
      <c r="BD19" s="408"/>
      <c r="BE19" s="408"/>
      <c r="BF19" s="408"/>
      <c r="BG19" s="408"/>
      <c r="BH19" s="408"/>
      <c r="BI19" s="408"/>
      <c r="BJ19" s="408"/>
    </row>
    <row r="20" spans="1:62" x14ac:dyDescent="0.25">
      <c r="A20" s="396">
        <f>A17+1</f>
        <v>4</v>
      </c>
      <c r="B20" s="397" t="s">
        <v>558</v>
      </c>
      <c r="C20" s="396">
        <f t="shared" ref="C20:I20" si="3">SUM(C21:C22)</f>
        <v>4314030</v>
      </c>
      <c r="D20" s="396">
        <f t="shared" si="3"/>
        <v>4314030</v>
      </c>
      <c r="E20" s="396">
        <f t="shared" si="3"/>
        <v>0</v>
      </c>
      <c r="F20" s="396">
        <f t="shared" si="3"/>
        <v>0</v>
      </c>
      <c r="G20" s="396">
        <f t="shared" si="3"/>
        <v>0</v>
      </c>
      <c r="H20" s="396">
        <f t="shared" si="3"/>
        <v>4314030</v>
      </c>
      <c r="I20" s="396">
        <f t="shared" si="3"/>
        <v>0</v>
      </c>
    </row>
    <row r="21" spans="1:62" s="404" customFormat="1" ht="15" customHeight="1" x14ac:dyDescent="0.2">
      <c r="A21" s="399">
        <f>A20+0.1</f>
        <v>4.0999999999999996</v>
      </c>
      <c r="B21" s="400" t="s">
        <v>17</v>
      </c>
      <c r="C21" s="401">
        <f>'[11]7.3.3.'!I112</f>
        <v>3206391</v>
      </c>
      <c r="D21" s="401">
        <f>'[11]7.3.3.'!J112</f>
        <v>3206391</v>
      </c>
      <c r="E21" s="401">
        <f>'[11]7.3.3.'!K112</f>
        <v>0</v>
      </c>
      <c r="F21" s="401">
        <f>'[11]7.3.3.'!L112</f>
        <v>0</v>
      </c>
      <c r="G21" s="401">
        <f>'[11]7.3.3.'!M112</f>
        <v>0</v>
      </c>
      <c r="H21" s="401">
        <f>'[11]7.3.3.'!N112</f>
        <v>3206391</v>
      </c>
      <c r="I21" s="401">
        <f>'[11]7.3.3.'!O112</f>
        <v>0</v>
      </c>
      <c r="J21" s="403"/>
      <c r="K21" s="403"/>
      <c r="L21" s="403"/>
      <c r="M21" s="403"/>
      <c r="N21" s="403"/>
      <c r="O21" s="403"/>
      <c r="P21" s="403"/>
      <c r="Q21" s="403"/>
      <c r="R21" s="403"/>
      <c r="S21" s="403"/>
      <c r="T21" s="403"/>
      <c r="U21" s="403"/>
      <c r="V21" s="403"/>
      <c r="W21" s="403"/>
      <c r="X21" s="403"/>
      <c r="Y21" s="403"/>
      <c r="Z21" s="403"/>
      <c r="AA21" s="403"/>
      <c r="AB21" s="403"/>
      <c r="AC21" s="403"/>
      <c r="AD21" s="403"/>
      <c r="AE21" s="403"/>
      <c r="AF21" s="403"/>
      <c r="AG21" s="403"/>
      <c r="AH21" s="403"/>
      <c r="AI21" s="403"/>
      <c r="AJ21" s="403"/>
      <c r="AK21" s="403"/>
      <c r="AL21" s="403"/>
      <c r="AM21" s="403"/>
      <c r="AN21" s="403"/>
      <c r="AO21" s="403"/>
      <c r="AP21" s="403"/>
      <c r="AQ21" s="403"/>
      <c r="AR21" s="403"/>
      <c r="AS21" s="403"/>
      <c r="AT21" s="403"/>
      <c r="AU21" s="403"/>
      <c r="AV21" s="403"/>
      <c r="AW21" s="403"/>
      <c r="AX21" s="403"/>
      <c r="AY21" s="403"/>
      <c r="AZ21" s="403"/>
      <c r="BA21" s="403"/>
      <c r="BB21" s="403"/>
      <c r="BC21" s="403"/>
      <c r="BD21" s="403"/>
      <c r="BE21" s="403"/>
      <c r="BF21" s="403"/>
      <c r="BG21" s="403"/>
      <c r="BH21" s="403"/>
      <c r="BI21" s="403"/>
      <c r="BJ21" s="403"/>
    </row>
    <row r="22" spans="1:62" s="409" customFormat="1" ht="15" customHeight="1" x14ac:dyDescent="0.2">
      <c r="A22" s="405">
        <f>A21+0.1</f>
        <v>4.1999999999999993</v>
      </c>
      <c r="B22" s="406" t="s">
        <v>19</v>
      </c>
      <c r="C22" s="401">
        <f>'[11]7.3.3.'!I125</f>
        <v>1107639</v>
      </c>
      <c r="D22" s="401">
        <f>'[11]7.3.3.'!J125</f>
        <v>1107639</v>
      </c>
      <c r="E22" s="401">
        <f>'[11]7.3.3.'!K125</f>
        <v>0</v>
      </c>
      <c r="F22" s="401">
        <f>'[11]7.3.3.'!L125</f>
        <v>0</v>
      </c>
      <c r="G22" s="401">
        <f>'[11]7.3.3.'!M125</f>
        <v>0</v>
      </c>
      <c r="H22" s="401">
        <f>'[11]7.3.3.'!N125</f>
        <v>1107639</v>
      </c>
      <c r="I22" s="401">
        <f>'[11]7.3.3.'!O125</f>
        <v>0</v>
      </c>
      <c r="J22" s="408"/>
      <c r="K22" s="408"/>
      <c r="L22" s="408"/>
      <c r="M22" s="408"/>
      <c r="N22" s="408"/>
      <c r="O22" s="408"/>
      <c r="P22" s="408"/>
      <c r="Q22" s="408"/>
      <c r="R22" s="408"/>
      <c r="S22" s="408"/>
      <c r="T22" s="408"/>
      <c r="U22" s="408"/>
      <c r="V22" s="408"/>
      <c r="W22" s="408"/>
      <c r="X22" s="408"/>
      <c r="Y22" s="408"/>
      <c r="Z22" s="408"/>
      <c r="AA22" s="408"/>
      <c r="AB22" s="408"/>
      <c r="AC22" s="408"/>
      <c r="AD22" s="408"/>
      <c r="AE22" s="408"/>
      <c r="AF22" s="408"/>
      <c r="AG22" s="408"/>
      <c r="AH22" s="408"/>
      <c r="AI22" s="408"/>
      <c r="AJ22" s="408"/>
      <c r="AK22" s="408"/>
      <c r="AL22" s="408"/>
      <c r="AM22" s="408"/>
      <c r="AN22" s="408"/>
      <c r="AO22" s="408"/>
      <c r="AP22" s="408"/>
      <c r="AQ22" s="408"/>
      <c r="AR22" s="408"/>
      <c r="AS22" s="408"/>
      <c r="AT22" s="408"/>
      <c r="AU22" s="408"/>
      <c r="AV22" s="408"/>
      <c r="AW22" s="408"/>
      <c r="AX22" s="408"/>
      <c r="AY22" s="408"/>
      <c r="AZ22" s="408"/>
      <c r="BA22" s="408"/>
      <c r="BB22" s="408"/>
      <c r="BC22" s="408"/>
      <c r="BD22" s="408"/>
      <c r="BE22" s="408"/>
      <c r="BF22" s="408"/>
      <c r="BG22" s="408"/>
      <c r="BH22" s="408"/>
      <c r="BI22" s="408"/>
      <c r="BJ22" s="408"/>
    </row>
    <row r="23" spans="1:62" x14ac:dyDescent="0.25">
      <c r="A23" s="396">
        <f>A20+1</f>
        <v>5</v>
      </c>
      <c r="B23" s="397" t="s">
        <v>559</v>
      </c>
      <c r="C23" s="396">
        <f t="shared" ref="C23:I23" si="4">SUM(C24:C25)</f>
        <v>17536255.75</v>
      </c>
      <c r="D23" s="396">
        <f t="shared" si="4"/>
        <v>9269525.75</v>
      </c>
      <c r="E23" s="396">
        <f t="shared" si="4"/>
        <v>8266730</v>
      </c>
      <c r="F23" s="396">
        <f t="shared" si="4"/>
        <v>0</v>
      </c>
      <c r="G23" s="396">
        <f t="shared" si="4"/>
        <v>0</v>
      </c>
      <c r="H23" s="396">
        <f t="shared" si="4"/>
        <v>8023534.75</v>
      </c>
      <c r="I23" s="396">
        <f t="shared" si="4"/>
        <v>9512721</v>
      </c>
    </row>
    <row r="24" spans="1:62" s="404" customFormat="1" ht="15" customHeight="1" x14ac:dyDescent="0.2">
      <c r="A24" s="399">
        <f>A23+0.1</f>
        <v>5.0999999999999996</v>
      </c>
      <c r="B24" s="400" t="s">
        <v>17</v>
      </c>
      <c r="C24" s="401">
        <f>'[11]7.3.3.'!I141</f>
        <v>8299657.75</v>
      </c>
      <c r="D24" s="401">
        <f>'[11]7.3.3.'!J141</f>
        <v>8299657.75</v>
      </c>
      <c r="E24" s="401">
        <f>'[11]7.3.3.'!K141</f>
        <v>0</v>
      </c>
      <c r="F24" s="401">
        <f>'[11]7.3.3.'!L141</f>
        <v>0</v>
      </c>
      <c r="G24" s="401">
        <f>'[11]7.3.3.'!M141</f>
        <v>0</v>
      </c>
      <c r="H24" s="401">
        <f>'[11]7.3.3.'!N141</f>
        <v>7053666.75</v>
      </c>
      <c r="I24" s="401">
        <f>'[11]7.3.3.'!O141</f>
        <v>1245991</v>
      </c>
      <c r="J24" s="403"/>
      <c r="K24" s="403"/>
      <c r="L24" s="403"/>
      <c r="M24" s="403"/>
      <c r="N24" s="403"/>
      <c r="O24" s="403"/>
      <c r="P24" s="403"/>
      <c r="Q24" s="403"/>
      <c r="R24" s="403"/>
      <c r="S24" s="403"/>
      <c r="T24" s="403"/>
      <c r="U24" s="403"/>
      <c r="V24" s="403"/>
      <c r="W24" s="403"/>
      <c r="X24" s="403"/>
      <c r="Y24" s="403"/>
      <c r="Z24" s="403"/>
      <c r="AA24" s="403"/>
      <c r="AB24" s="403"/>
      <c r="AC24" s="403"/>
      <c r="AD24" s="403"/>
      <c r="AE24" s="403"/>
      <c r="AF24" s="403"/>
      <c r="AG24" s="403"/>
      <c r="AH24" s="403"/>
      <c r="AI24" s="403"/>
      <c r="AJ24" s="403"/>
      <c r="AK24" s="403"/>
      <c r="AL24" s="403"/>
      <c r="AM24" s="403"/>
      <c r="AN24" s="403"/>
      <c r="AO24" s="403"/>
      <c r="AP24" s="403"/>
      <c r="AQ24" s="403"/>
      <c r="AR24" s="403"/>
      <c r="AS24" s="403"/>
      <c r="AT24" s="403"/>
      <c r="AU24" s="403"/>
      <c r="AV24" s="403"/>
      <c r="AW24" s="403"/>
      <c r="AX24" s="403"/>
      <c r="AY24" s="403"/>
      <c r="AZ24" s="403"/>
      <c r="BA24" s="403"/>
      <c r="BB24" s="403"/>
      <c r="BC24" s="403"/>
      <c r="BD24" s="403"/>
      <c r="BE24" s="403"/>
      <c r="BF24" s="403"/>
      <c r="BG24" s="403"/>
      <c r="BH24" s="403"/>
      <c r="BI24" s="403"/>
      <c r="BJ24" s="403"/>
    </row>
    <row r="25" spans="1:62" s="409" customFormat="1" ht="15" customHeight="1" x14ac:dyDescent="0.2">
      <c r="A25" s="405">
        <f>A24+0.1</f>
        <v>5.1999999999999993</v>
      </c>
      <c r="B25" s="406" t="s">
        <v>19</v>
      </c>
      <c r="C25" s="401">
        <f>'[11]7.3.3.'!I170</f>
        <v>9236598</v>
      </c>
      <c r="D25" s="401">
        <f>'[11]7.3.3.'!J170</f>
        <v>969868</v>
      </c>
      <c r="E25" s="401">
        <f>'[11]7.3.3.'!K170</f>
        <v>8266730</v>
      </c>
      <c r="F25" s="401">
        <f>'[11]7.3.3.'!L170</f>
        <v>0</v>
      </c>
      <c r="G25" s="401">
        <f>'[11]7.3.3.'!M170</f>
        <v>0</v>
      </c>
      <c r="H25" s="401">
        <f>'[11]7.3.3.'!N170</f>
        <v>969868</v>
      </c>
      <c r="I25" s="401">
        <f>'[11]7.3.3.'!O170</f>
        <v>8266730</v>
      </c>
      <c r="J25" s="408"/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8"/>
      <c r="V25" s="408"/>
      <c r="W25" s="408"/>
      <c r="X25" s="408"/>
      <c r="Y25" s="408"/>
      <c r="Z25" s="408"/>
      <c r="AA25" s="408"/>
      <c r="AB25" s="408"/>
      <c r="AC25" s="408"/>
      <c r="AD25" s="408"/>
      <c r="AE25" s="408"/>
      <c r="AF25" s="408"/>
      <c r="AG25" s="408"/>
      <c r="AH25" s="408"/>
      <c r="AI25" s="408"/>
      <c r="AJ25" s="408"/>
      <c r="AK25" s="408"/>
      <c r="AL25" s="408"/>
      <c r="AM25" s="408"/>
      <c r="AN25" s="408"/>
      <c r="AO25" s="408"/>
      <c r="AP25" s="408"/>
      <c r="AQ25" s="408"/>
      <c r="AR25" s="408"/>
      <c r="AS25" s="408"/>
      <c r="AT25" s="408"/>
      <c r="AU25" s="408"/>
      <c r="AV25" s="408"/>
      <c r="AW25" s="408"/>
      <c r="AX25" s="408"/>
      <c r="AY25" s="408"/>
      <c r="AZ25" s="408"/>
      <c r="BA25" s="408"/>
      <c r="BB25" s="408"/>
      <c r="BC25" s="408"/>
      <c r="BD25" s="408"/>
      <c r="BE25" s="408"/>
      <c r="BF25" s="408"/>
      <c r="BG25" s="408"/>
      <c r="BH25" s="408"/>
      <c r="BI25" s="408"/>
      <c r="BJ25" s="408"/>
    </row>
    <row r="26" spans="1:62" x14ac:dyDescent="0.25">
      <c r="A26" s="396">
        <f>A23+1</f>
        <v>6</v>
      </c>
      <c r="B26" s="397" t="s">
        <v>560</v>
      </c>
      <c r="C26" s="396">
        <f t="shared" ref="C26:I26" si="5">SUM(C27:C28)</f>
        <v>5501707</v>
      </c>
      <c r="D26" s="396">
        <f t="shared" si="5"/>
        <v>1053017</v>
      </c>
      <c r="E26" s="396">
        <f t="shared" si="5"/>
        <v>4448690</v>
      </c>
      <c r="F26" s="396">
        <f t="shared" si="5"/>
        <v>0</v>
      </c>
      <c r="G26" s="396">
        <f t="shared" si="5"/>
        <v>0</v>
      </c>
      <c r="H26" s="396">
        <f t="shared" si="5"/>
        <v>1053017</v>
      </c>
      <c r="I26" s="396">
        <f t="shared" si="5"/>
        <v>4448690</v>
      </c>
    </row>
    <row r="27" spans="1:62" s="404" customFormat="1" ht="15" customHeight="1" x14ac:dyDescent="0.2">
      <c r="A27" s="399">
        <f>A26+0.1</f>
        <v>6.1</v>
      </c>
      <c r="B27" s="400" t="s">
        <v>17</v>
      </c>
      <c r="C27" s="401">
        <f>'[11]7.3.3.'!I198</f>
        <v>1053017</v>
      </c>
      <c r="D27" s="401">
        <f>'[11]7.3.3.'!J198</f>
        <v>1053017</v>
      </c>
      <c r="E27" s="401">
        <f>'[11]7.3.3.'!K198</f>
        <v>0</v>
      </c>
      <c r="F27" s="401">
        <f>'[11]7.3.3.'!L198</f>
        <v>0</v>
      </c>
      <c r="G27" s="401">
        <f>'[11]7.3.3.'!M198</f>
        <v>0</v>
      </c>
      <c r="H27" s="401">
        <f>'[11]7.3.3.'!N198</f>
        <v>1053017</v>
      </c>
      <c r="I27" s="401">
        <f>'[11]7.3.3.'!O198</f>
        <v>0</v>
      </c>
      <c r="J27" s="403"/>
      <c r="K27" s="403"/>
      <c r="L27" s="403"/>
      <c r="M27" s="403"/>
      <c r="N27" s="403"/>
      <c r="O27" s="403"/>
      <c r="P27" s="403"/>
      <c r="Q27" s="403"/>
      <c r="R27" s="403"/>
      <c r="S27" s="403"/>
      <c r="T27" s="403"/>
      <c r="U27" s="403"/>
      <c r="V27" s="403"/>
      <c r="W27" s="403"/>
      <c r="X27" s="403"/>
      <c r="Y27" s="403"/>
      <c r="Z27" s="403"/>
      <c r="AA27" s="403"/>
      <c r="AB27" s="403"/>
      <c r="AC27" s="403"/>
      <c r="AD27" s="403"/>
      <c r="AE27" s="403"/>
      <c r="AF27" s="403"/>
      <c r="AG27" s="403"/>
      <c r="AH27" s="403"/>
      <c r="AI27" s="403"/>
      <c r="AJ27" s="403"/>
      <c r="AK27" s="403"/>
      <c r="AL27" s="403"/>
      <c r="AM27" s="403"/>
      <c r="AN27" s="403"/>
      <c r="AO27" s="403"/>
      <c r="AP27" s="403"/>
      <c r="AQ27" s="403"/>
      <c r="AR27" s="403"/>
      <c r="AS27" s="403"/>
      <c r="AT27" s="403"/>
      <c r="AU27" s="403"/>
      <c r="AV27" s="403"/>
      <c r="AW27" s="403"/>
      <c r="AX27" s="403"/>
      <c r="AY27" s="403"/>
      <c r="AZ27" s="403"/>
      <c r="BA27" s="403"/>
      <c r="BB27" s="403"/>
      <c r="BC27" s="403"/>
      <c r="BD27" s="403"/>
      <c r="BE27" s="403"/>
      <c r="BF27" s="403"/>
      <c r="BG27" s="403"/>
      <c r="BH27" s="403"/>
      <c r="BI27" s="403"/>
      <c r="BJ27" s="403"/>
    </row>
    <row r="28" spans="1:62" s="409" customFormat="1" ht="15" customHeight="1" x14ac:dyDescent="0.2">
      <c r="A28" s="405">
        <f>A27+0.1</f>
        <v>6.1999999999999993</v>
      </c>
      <c r="B28" s="406" t="s">
        <v>19</v>
      </c>
      <c r="C28" s="401">
        <f>'[11]7.3.3.'!I205</f>
        <v>4448690</v>
      </c>
      <c r="D28" s="401">
        <f>'[11]7.3.3.'!J205</f>
        <v>0</v>
      </c>
      <c r="E28" s="401">
        <f>'[11]7.3.3.'!K205</f>
        <v>4448690</v>
      </c>
      <c r="F28" s="401">
        <f>'[11]7.3.3.'!L205</f>
        <v>0</v>
      </c>
      <c r="G28" s="401">
        <f>'[11]7.3.3.'!M205</f>
        <v>0</v>
      </c>
      <c r="H28" s="401">
        <f>'[11]7.3.3.'!N205</f>
        <v>0</v>
      </c>
      <c r="I28" s="401">
        <f>'[11]7.3.3.'!O205</f>
        <v>4448690</v>
      </c>
      <c r="J28" s="408"/>
      <c r="K28" s="408"/>
      <c r="L28" s="408"/>
      <c r="M28" s="408"/>
      <c r="N28" s="408"/>
      <c r="O28" s="408"/>
      <c r="P28" s="408"/>
      <c r="Q28" s="408"/>
      <c r="R28" s="408"/>
      <c r="S28" s="408"/>
      <c r="T28" s="408"/>
      <c r="U28" s="408"/>
      <c r="V28" s="408"/>
      <c r="W28" s="408"/>
      <c r="X28" s="408"/>
      <c r="Y28" s="408"/>
      <c r="Z28" s="408"/>
      <c r="AA28" s="408"/>
      <c r="AB28" s="408"/>
      <c r="AC28" s="408"/>
      <c r="AD28" s="408"/>
      <c r="AE28" s="408"/>
      <c r="AF28" s="408"/>
      <c r="AG28" s="408"/>
      <c r="AH28" s="408"/>
      <c r="AI28" s="408"/>
      <c r="AJ28" s="408"/>
      <c r="AK28" s="408"/>
      <c r="AL28" s="408"/>
      <c r="AM28" s="408"/>
      <c r="AN28" s="408"/>
      <c r="AO28" s="408"/>
      <c r="AP28" s="408"/>
      <c r="AQ28" s="408"/>
      <c r="AR28" s="408"/>
      <c r="AS28" s="408"/>
      <c r="AT28" s="408"/>
      <c r="AU28" s="408"/>
      <c r="AV28" s="408"/>
      <c r="AW28" s="408"/>
      <c r="AX28" s="408"/>
      <c r="AY28" s="408"/>
      <c r="AZ28" s="408"/>
      <c r="BA28" s="408"/>
      <c r="BB28" s="408"/>
      <c r="BC28" s="408"/>
      <c r="BD28" s="408"/>
      <c r="BE28" s="408"/>
      <c r="BF28" s="408"/>
      <c r="BG28" s="408"/>
      <c r="BH28" s="408"/>
      <c r="BI28" s="408"/>
      <c r="BJ28" s="408"/>
    </row>
    <row r="29" spans="1:62" x14ac:dyDescent="0.25">
      <c r="A29" s="396">
        <f>A26+1</f>
        <v>7</v>
      </c>
      <c r="B29" s="397" t="s">
        <v>561</v>
      </c>
      <c r="C29" s="396">
        <f t="shared" ref="C29:I29" si="6">SUM(C30:C31)</f>
        <v>86089</v>
      </c>
      <c r="D29" s="396">
        <f t="shared" si="6"/>
        <v>86089</v>
      </c>
      <c r="E29" s="396">
        <f t="shared" si="6"/>
        <v>0</v>
      </c>
      <c r="F29" s="396">
        <f t="shared" si="6"/>
        <v>0</v>
      </c>
      <c r="G29" s="396">
        <f t="shared" si="6"/>
        <v>0</v>
      </c>
      <c r="H29" s="396">
        <f t="shared" si="6"/>
        <v>0</v>
      </c>
      <c r="I29" s="396">
        <f t="shared" si="6"/>
        <v>86089</v>
      </c>
    </row>
    <row r="30" spans="1:62" s="404" customFormat="1" ht="15" customHeight="1" x14ac:dyDescent="0.2">
      <c r="A30" s="399">
        <f>A29+0.1</f>
        <v>7.1</v>
      </c>
      <c r="B30" s="400" t="s">
        <v>17</v>
      </c>
      <c r="C30" s="401">
        <f>'[11]7.3.3.'!I220</f>
        <v>86089</v>
      </c>
      <c r="D30" s="401">
        <f>'[11]7.3.3.'!J220</f>
        <v>86089</v>
      </c>
      <c r="E30" s="401">
        <f>'[11]7.3.3.'!K220</f>
        <v>0</v>
      </c>
      <c r="F30" s="401">
        <f>'[11]7.3.3.'!L220</f>
        <v>0</v>
      </c>
      <c r="G30" s="401">
        <f>'[11]7.3.3.'!M220</f>
        <v>0</v>
      </c>
      <c r="H30" s="401">
        <f>'[11]7.3.3.'!N220</f>
        <v>0</v>
      </c>
      <c r="I30" s="401">
        <f>'[11]7.3.3.'!O220</f>
        <v>86089</v>
      </c>
      <c r="J30" s="403"/>
      <c r="K30" s="403"/>
      <c r="L30" s="403"/>
      <c r="M30" s="403"/>
      <c r="N30" s="403"/>
      <c r="O30" s="403"/>
      <c r="P30" s="403"/>
      <c r="Q30" s="403"/>
      <c r="R30" s="403"/>
      <c r="S30" s="403"/>
      <c r="T30" s="403"/>
      <c r="U30" s="403"/>
      <c r="V30" s="403"/>
      <c r="W30" s="403"/>
      <c r="X30" s="403"/>
      <c r="Y30" s="403"/>
      <c r="Z30" s="403"/>
      <c r="AA30" s="403"/>
      <c r="AB30" s="403"/>
      <c r="AC30" s="403"/>
      <c r="AD30" s="403"/>
      <c r="AE30" s="403"/>
      <c r="AF30" s="403"/>
      <c r="AG30" s="403"/>
      <c r="AH30" s="403"/>
      <c r="AI30" s="403"/>
      <c r="AJ30" s="403"/>
      <c r="AK30" s="403"/>
      <c r="AL30" s="403"/>
      <c r="AM30" s="403"/>
      <c r="AN30" s="403"/>
      <c r="AO30" s="403"/>
      <c r="AP30" s="403"/>
      <c r="AQ30" s="403"/>
      <c r="AR30" s="403"/>
      <c r="AS30" s="403"/>
      <c r="AT30" s="403"/>
      <c r="AU30" s="403"/>
      <c r="AV30" s="403"/>
      <c r="AW30" s="403"/>
      <c r="AX30" s="403"/>
      <c r="AY30" s="403"/>
      <c r="AZ30" s="403"/>
      <c r="BA30" s="403"/>
      <c r="BB30" s="403"/>
      <c r="BC30" s="403"/>
      <c r="BD30" s="403"/>
      <c r="BE30" s="403"/>
      <c r="BF30" s="403"/>
      <c r="BG30" s="403"/>
      <c r="BH30" s="403"/>
      <c r="BI30" s="403"/>
      <c r="BJ30" s="403"/>
    </row>
    <row r="31" spans="1:62" s="409" customFormat="1" ht="15" customHeight="1" x14ac:dyDescent="0.2">
      <c r="A31" s="405">
        <f>A30+0.1</f>
        <v>7.1999999999999993</v>
      </c>
      <c r="B31" s="406" t="s">
        <v>19</v>
      </c>
      <c r="C31" s="401">
        <f>'[11]7.3.3.'!I223</f>
        <v>0</v>
      </c>
      <c r="D31" s="401">
        <f>'[11]7.3.3.'!J223</f>
        <v>0</v>
      </c>
      <c r="E31" s="401">
        <f>'[11]7.3.3.'!K223</f>
        <v>0</v>
      </c>
      <c r="F31" s="401">
        <f>'[11]7.3.3.'!L223</f>
        <v>0</v>
      </c>
      <c r="G31" s="401">
        <f>'[11]7.3.3.'!M223</f>
        <v>0</v>
      </c>
      <c r="H31" s="401">
        <f>'[11]7.3.3.'!N223</f>
        <v>0</v>
      </c>
      <c r="I31" s="401">
        <f>'[11]7.3.3.'!O223</f>
        <v>0</v>
      </c>
      <c r="J31" s="408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  <c r="Z31" s="408"/>
      <c r="AA31" s="408"/>
      <c r="AB31" s="408"/>
      <c r="AC31" s="408"/>
      <c r="AD31" s="408"/>
      <c r="AE31" s="408"/>
      <c r="AF31" s="408"/>
      <c r="AG31" s="408"/>
      <c r="AH31" s="408"/>
      <c r="AI31" s="408"/>
      <c r="AJ31" s="408"/>
      <c r="AK31" s="408"/>
      <c r="AL31" s="408"/>
      <c r="AM31" s="408"/>
      <c r="AN31" s="408"/>
      <c r="AO31" s="408"/>
      <c r="AP31" s="408"/>
      <c r="AQ31" s="408"/>
      <c r="AR31" s="408"/>
      <c r="AS31" s="408"/>
      <c r="AT31" s="408"/>
      <c r="AU31" s="408"/>
      <c r="AV31" s="408"/>
      <c r="AW31" s="408"/>
      <c r="AX31" s="408"/>
      <c r="AY31" s="408"/>
      <c r="AZ31" s="408"/>
      <c r="BA31" s="408"/>
      <c r="BB31" s="408"/>
      <c r="BC31" s="408"/>
      <c r="BD31" s="408"/>
      <c r="BE31" s="408"/>
      <c r="BF31" s="408"/>
      <c r="BG31" s="408"/>
      <c r="BH31" s="408"/>
      <c r="BI31" s="408"/>
      <c r="BJ31" s="408"/>
    </row>
    <row r="32" spans="1:62" x14ac:dyDescent="0.25">
      <c r="A32" s="396">
        <f>A29+1</f>
        <v>8</v>
      </c>
      <c r="B32" s="397" t="s">
        <v>562</v>
      </c>
      <c r="C32" s="396">
        <f t="shared" ref="C32:I32" si="7">SUM(C33:C34)</f>
        <v>8834109</v>
      </c>
      <c r="D32" s="396">
        <f t="shared" si="7"/>
        <v>8834109</v>
      </c>
      <c r="E32" s="396">
        <f t="shared" si="7"/>
        <v>0</v>
      </c>
      <c r="F32" s="396">
        <f t="shared" si="7"/>
        <v>0</v>
      </c>
      <c r="G32" s="396">
        <f t="shared" si="7"/>
        <v>0</v>
      </c>
      <c r="H32" s="396">
        <f t="shared" si="7"/>
        <v>0</v>
      </c>
      <c r="I32" s="396">
        <f t="shared" si="7"/>
        <v>8834109</v>
      </c>
    </row>
    <row r="33" spans="1:62" s="404" customFormat="1" ht="15" customHeight="1" x14ac:dyDescent="0.2">
      <c r="A33" s="399">
        <f>A32+0.1</f>
        <v>8.1</v>
      </c>
      <c r="B33" s="400" t="s">
        <v>17</v>
      </c>
      <c r="C33" s="401">
        <f>'[11]7.3.3.'!I233</f>
        <v>1770717</v>
      </c>
      <c r="D33" s="401">
        <f>'[11]7.3.3.'!J233</f>
        <v>1770717</v>
      </c>
      <c r="E33" s="401">
        <f>'[11]7.3.3.'!K233</f>
        <v>0</v>
      </c>
      <c r="F33" s="401">
        <f>'[11]7.3.3.'!L233</f>
        <v>0</v>
      </c>
      <c r="G33" s="401">
        <f>'[11]7.3.3.'!M233</f>
        <v>0</v>
      </c>
      <c r="H33" s="401">
        <f>'[11]7.3.3.'!N233</f>
        <v>0</v>
      </c>
      <c r="I33" s="401">
        <f>'[11]7.3.3.'!O233</f>
        <v>1770717</v>
      </c>
      <c r="J33" s="403"/>
      <c r="K33" s="403"/>
      <c r="L33" s="403"/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403"/>
      <c r="Y33" s="403"/>
      <c r="Z33" s="403"/>
      <c r="AA33" s="403"/>
      <c r="AB33" s="403"/>
      <c r="AC33" s="403"/>
      <c r="AD33" s="403"/>
      <c r="AE33" s="403"/>
      <c r="AF33" s="403"/>
      <c r="AG33" s="403"/>
      <c r="AH33" s="403"/>
      <c r="AI33" s="403"/>
      <c r="AJ33" s="403"/>
      <c r="AK33" s="403"/>
      <c r="AL33" s="403"/>
      <c r="AM33" s="403"/>
      <c r="AN33" s="403"/>
      <c r="AO33" s="403"/>
      <c r="AP33" s="403"/>
      <c r="AQ33" s="403"/>
      <c r="AR33" s="403"/>
      <c r="AS33" s="403"/>
      <c r="AT33" s="403"/>
      <c r="AU33" s="403"/>
      <c r="AV33" s="403"/>
      <c r="AW33" s="403"/>
      <c r="AX33" s="403"/>
      <c r="AY33" s="403"/>
      <c r="AZ33" s="403"/>
      <c r="BA33" s="403"/>
      <c r="BB33" s="403"/>
      <c r="BC33" s="403"/>
      <c r="BD33" s="403"/>
      <c r="BE33" s="403"/>
      <c r="BF33" s="403"/>
      <c r="BG33" s="403"/>
      <c r="BH33" s="403"/>
      <c r="BI33" s="403"/>
      <c r="BJ33" s="403"/>
    </row>
    <row r="34" spans="1:62" s="409" customFormat="1" ht="15" customHeight="1" x14ac:dyDescent="0.2">
      <c r="A34" s="405">
        <f>A33+0.1</f>
        <v>8.1999999999999993</v>
      </c>
      <c r="B34" s="406" t="s">
        <v>19</v>
      </c>
      <c r="C34" s="401">
        <f>'[11]7.3.3.'!I238</f>
        <v>7063392</v>
      </c>
      <c r="D34" s="401">
        <f>'[11]7.3.3.'!J238</f>
        <v>7063392</v>
      </c>
      <c r="E34" s="401">
        <f>'[11]7.3.3.'!K238</f>
        <v>0</v>
      </c>
      <c r="F34" s="401">
        <f>'[11]7.3.3.'!L238</f>
        <v>0</v>
      </c>
      <c r="G34" s="401">
        <f>'[11]7.3.3.'!M238</f>
        <v>0</v>
      </c>
      <c r="H34" s="401">
        <f>'[11]7.3.3.'!N238</f>
        <v>0</v>
      </c>
      <c r="I34" s="401">
        <f>'[11]7.3.3.'!O238</f>
        <v>7063392</v>
      </c>
      <c r="J34" s="408"/>
      <c r="K34" s="408"/>
      <c r="L34" s="408"/>
      <c r="M34" s="408"/>
      <c r="N34" s="408"/>
      <c r="O34" s="408"/>
      <c r="P34" s="408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  <c r="AC34" s="408"/>
      <c r="AD34" s="408"/>
      <c r="AE34" s="408"/>
      <c r="AF34" s="408"/>
      <c r="AG34" s="408"/>
      <c r="AH34" s="408"/>
      <c r="AI34" s="408"/>
      <c r="AJ34" s="408"/>
      <c r="AK34" s="408"/>
      <c r="AL34" s="408"/>
      <c r="AM34" s="408"/>
      <c r="AN34" s="408"/>
      <c r="AO34" s="408"/>
      <c r="AP34" s="408"/>
      <c r="AQ34" s="408"/>
      <c r="AR34" s="408"/>
      <c r="AS34" s="408"/>
      <c r="AT34" s="408"/>
      <c r="AU34" s="408"/>
      <c r="AV34" s="408"/>
      <c r="AW34" s="408"/>
      <c r="AX34" s="408"/>
      <c r="AY34" s="408"/>
      <c r="AZ34" s="408"/>
      <c r="BA34" s="408"/>
      <c r="BB34" s="408"/>
      <c r="BC34" s="408"/>
      <c r="BD34" s="408"/>
      <c r="BE34" s="408"/>
      <c r="BF34" s="408"/>
      <c r="BG34" s="408"/>
      <c r="BH34" s="408"/>
      <c r="BI34" s="408"/>
      <c r="BJ34" s="408"/>
    </row>
    <row r="35" spans="1:62" x14ac:dyDescent="0.25">
      <c r="A35" s="396">
        <f>A32+1</f>
        <v>9</v>
      </c>
      <c r="B35" s="397" t="s">
        <v>563</v>
      </c>
      <c r="C35" s="396">
        <f t="shared" ref="C35:I35" si="8">SUM(C36:C37)</f>
        <v>14864859</v>
      </c>
      <c r="D35" s="396">
        <f t="shared" si="8"/>
        <v>8330661</v>
      </c>
      <c r="E35" s="396">
        <f t="shared" si="8"/>
        <v>4929301</v>
      </c>
      <c r="F35" s="396">
        <f t="shared" si="8"/>
        <v>1604897</v>
      </c>
      <c r="G35" s="396">
        <f t="shared" si="8"/>
        <v>0</v>
      </c>
      <c r="H35" s="396">
        <f t="shared" si="8"/>
        <v>0</v>
      </c>
      <c r="I35" s="396">
        <f t="shared" si="8"/>
        <v>14864859</v>
      </c>
    </row>
    <row r="36" spans="1:62" s="404" customFormat="1" ht="15" customHeight="1" x14ac:dyDescent="0.2">
      <c r="A36" s="399">
        <f>A35+0.1</f>
        <v>9.1</v>
      </c>
      <c r="B36" s="400" t="s">
        <v>17</v>
      </c>
      <c r="C36" s="401">
        <f>'[11]7.3.3.'!I255</f>
        <v>4396696</v>
      </c>
      <c r="D36" s="401">
        <f>'[11]7.3.3.'!J255</f>
        <v>3218989</v>
      </c>
      <c r="E36" s="401">
        <f>'[11]7.3.3.'!K255</f>
        <v>1177707</v>
      </c>
      <c r="F36" s="401">
        <f>'[11]7.3.3.'!L255</f>
        <v>0</v>
      </c>
      <c r="G36" s="401">
        <f>'[11]7.3.3.'!M255</f>
        <v>0</v>
      </c>
      <c r="H36" s="401">
        <f>'[11]7.3.3.'!N255</f>
        <v>0</v>
      </c>
      <c r="I36" s="401">
        <f>'[11]7.3.3.'!O255</f>
        <v>4396696</v>
      </c>
      <c r="J36" s="403"/>
      <c r="K36" s="403"/>
      <c r="L36" s="403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3"/>
      <c r="AA36" s="403"/>
      <c r="AB36" s="403"/>
      <c r="AC36" s="403"/>
      <c r="AD36" s="403"/>
      <c r="AE36" s="403"/>
      <c r="AF36" s="403"/>
      <c r="AG36" s="403"/>
      <c r="AH36" s="403"/>
      <c r="AI36" s="403"/>
      <c r="AJ36" s="403"/>
      <c r="AK36" s="403"/>
      <c r="AL36" s="403"/>
      <c r="AM36" s="403"/>
      <c r="AN36" s="403"/>
      <c r="AO36" s="403"/>
      <c r="AP36" s="403"/>
      <c r="AQ36" s="403"/>
      <c r="AR36" s="403"/>
      <c r="AS36" s="403"/>
      <c r="AT36" s="403"/>
      <c r="AU36" s="403"/>
      <c r="AV36" s="403"/>
      <c r="AW36" s="403"/>
      <c r="AX36" s="403"/>
      <c r="AY36" s="403"/>
      <c r="AZ36" s="403"/>
      <c r="BA36" s="403"/>
      <c r="BB36" s="403"/>
      <c r="BC36" s="403"/>
      <c r="BD36" s="403"/>
      <c r="BE36" s="403"/>
      <c r="BF36" s="403"/>
      <c r="BG36" s="403"/>
      <c r="BH36" s="403"/>
      <c r="BI36" s="403"/>
      <c r="BJ36" s="403"/>
    </row>
    <row r="37" spans="1:62" s="409" customFormat="1" ht="15" customHeight="1" x14ac:dyDescent="0.2">
      <c r="A37" s="405">
        <f>A36+0.1</f>
        <v>9.1999999999999993</v>
      </c>
      <c r="B37" s="406" t="s">
        <v>19</v>
      </c>
      <c r="C37" s="401">
        <f>'[11]7.3.3.'!I270</f>
        <v>10468163</v>
      </c>
      <c r="D37" s="401">
        <f>'[11]7.3.3.'!J270</f>
        <v>5111672</v>
      </c>
      <c r="E37" s="401">
        <f>'[11]7.3.3.'!K270</f>
        <v>3751594</v>
      </c>
      <c r="F37" s="401">
        <f>'[11]7.3.3.'!L270</f>
        <v>1604897</v>
      </c>
      <c r="G37" s="401">
        <f>'[11]7.3.3.'!M270</f>
        <v>0</v>
      </c>
      <c r="H37" s="401">
        <f>'[11]7.3.3.'!N270</f>
        <v>0</v>
      </c>
      <c r="I37" s="401">
        <f>'[11]7.3.3.'!O270</f>
        <v>10468163</v>
      </c>
      <c r="J37" s="408"/>
      <c r="K37" s="408"/>
      <c r="L37" s="408"/>
      <c r="M37" s="408"/>
      <c r="N37" s="408"/>
      <c r="O37" s="408"/>
      <c r="P37" s="408"/>
      <c r="Q37" s="408"/>
      <c r="R37" s="408"/>
      <c r="S37" s="408"/>
      <c r="T37" s="408"/>
      <c r="U37" s="408"/>
      <c r="V37" s="408"/>
      <c r="W37" s="408"/>
      <c r="X37" s="408"/>
      <c r="Y37" s="408"/>
      <c r="Z37" s="408"/>
      <c r="AA37" s="408"/>
      <c r="AB37" s="408"/>
      <c r="AC37" s="408"/>
      <c r="AD37" s="408"/>
      <c r="AE37" s="408"/>
      <c r="AF37" s="408"/>
      <c r="AG37" s="408"/>
      <c r="AH37" s="408"/>
      <c r="AI37" s="408"/>
      <c r="AJ37" s="408"/>
      <c r="AK37" s="408"/>
      <c r="AL37" s="408"/>
      <c r="AM37" s="408"/>
      <c r="AN37" s="408"/>
      <c r="AO37" s="408"/>
      <c r="AP37" s="408"/>
      <c r="AQ37" s="408"/>
      <c r="AR37" s="408"/>
      <c r="AS37" s="408"/>
      <c r="AT37" s="408"/>
      <c r="AU37" s="408"/>
      <c r="AV37" s="408"/>
      <c r="AW37" s="408"/>
      <c r="AX37" s="408"/>
      <c r="AY37" s="408"/>
      <c r="AZ37" s="408"/>
      <c r="BA37" s="408"/>
      <c r="BB37" s="408"/>
      <c r="BC37" s="408"/>
      <c r="BD37" s="408"/>
      <c r="BE37" s="408"/>
      <c r="BF37" s="408"/>
      <c r="BG37" s="408"/>
      <c r="BH37" s="408"/>
      <c r="BI37" s="408"/>
      <c r="BJ37" s="408"/>
    </row>
    <row r="38" spans="1:62" x14ac:dyDescent="0.25">
      <c r="A38" s="396">
        <f>A35+1</f>
        <v>10</v>
      </c>
      <c r="B38" s="397" t="s">
        <v>564</v>
      </c>
      <c r="C38" s="396">
        <f t="shared" ref="C38:I38" si="9">SUM(C39:C40)</f>
        <v>5367497</v>
      </c>
      <c r="D38" s="396">
        <f t="shared" si="9"/>
        <v>5367497</v>
      </c>
      <c r="E38" s="396">
        <f t="shared" si="9"/>
        <v>0</v>
      </c>
      <c r="F38" s="396">
        <f t="shared" si="9"/>
        <v>0</v>
      </c>
      <c r="G38" s="396">
        <f t="shared" si="9"/>
        <v>0</v>
      </c>
      <c r="H38" s="396">
        <f t="shared" si="9"/>
        <v>5367497</v>
      </c>
      <c r="I38" s="396">
        <f t="shared" si="9"/>
        <v>0</v>
      </c>
    </row>
    <row r="39" spans="1:62" s="404" customFormat="1" ht="15" customHeight="1" x14ac:dyDescent="0.2">
      <c r="A39" s="399">
        <f>A38+0.1</f>
        <v>10.1</v>
      </c>
      <c r="B39" s="400" t="s">
        <v>17</v>
      </c>
      <c r="C39" s="401">
        <f>'[11]7.3.3.'!I297</f>
        <v>44573</v>
      </c>
      <c r="D39" s="401">
        <f>'[11]7.3.3.'!J297</f>
        <v>44573</v>
      </c>
      <c r="E39" s="401">
        <f>'[11]7.3.3.'!K297</f>
        <v>0</v>
      </c>
      <c r="F39" s="401">
        <f>'[11]7.3.3.'!L297</f>
        <v>0</v>
      </c>
      <c r="G39" s="401">
        <f>'[11]7.3.3.'!M297</f>
        <v>0</v>
      </c>
      <c r="H39" s="401">
        <f>'[11]7.3.3.'!N297</f>
        <v>44573</v>
      </c>
      <c r="I39" s="401">
        <f>'[11]7.3.3.'!O297</f>
        <v>0</v>
      </c>
      <c r="J39" s="403"/>
      <c r="K39" s="403"/>
      <c r="L39" s="403"/>
      <c r="M39" s="403"/>
      <c r="N39" s="403"/>
      <c r="O39" s="403"/>
      <c r="P39" s="403"/>
      <c r="Q39" s="403"/>
      <c r="R39" s="403"/>
      <c r="S39" s="403"/>
      <c r="T39" s="403"/>
      <c r="U39" s="403"/>
      <c r="V39" s="403"/>
      <c r="W39" s="403"/>
      <c r="X39" s="403"/>
      <c r="Y39" s="403"/>
      <c r="Z39" s="403"/>
      <c r="AA39" s="403"/>
      <c r="AB39" s="403"/>
      <c r="AC39" s="403"/>
      <c r="AD39" s="403"/>
      <c r="AE39" s="403"/>
      <c r="AF39" s="403"/>
      <c r="AG39" s="403"/>
      <c r="AH39" s="403"/>
      <c r="AI39" s="403"/>
      <c r="AJ39" s="403"/>
      <c r="AK39" s="403"/>
      <c r="AL39" s="403"/>
      <c r="AM39" s="403"/>
      <c r="AN39" s="403"/>
      <c r="AO39" s="403"/>
      <c r="AP39" s="403"/>
      <c r="AQ39" s="403"/>
      <c r="AR39" s="403"/>
      <c r="AS39" s="403"/>
      <c r="AT39" s="403"/>
      <c r="AU39" s="403"/>
      <c r="AV39" s="403"/>
      <c r="AW39" s="403"/>
      <c r="AX39" s="403"/>
      <c r="AY39" s="403"/>
      <c r="AZ39" s="403"/>
      <c r="BA39" s="403"/>
      <c r="BB39" s="403"/>
      <c r="BC39" s="403"/>
      <c r="BD39" s="403"/>
      <c r="BE39" s="403"/>
      <c r="BF39" s="403"/>
      <c r="BG39" s="403"/>
      <c r="BH39" s="403"/>
      <c r="BI39" s="403"/>
      <c r="BJ39" s="403"/>
    </row>
    <row r="40" spans="1:62" s="409" customFormat="1" ht="15" customHeight="1" x14ac:dyDescent="0.2">
      <c r="A40" s="405">
        <f>A39+0.1</f>
        <v>10.199999999999999</v>
      </c>
      <c r="B40" s="406" t="s">
        <v>19</v>
      </c>
      <c r="C40" s="401">
        <f>'[11]7.3.3.'!I299</f>
        <v>5322924</v>
      </c>
      <c r="D40" s="401">
        <f>'[11]7.3.3.'!J299</f>
        <v>5322924</v>
      </c>
      <c r="E40" s="401">
        <f>'[11]7.3.3.'!K299</f>
        <v>0</v>
      </c>
      <c r="F40" s="401">
        <f>'[11]7.3.3.'!L299</f>
        <v>0</v>
      </c>
      <c r="G40" s="401">
        <f>'[11]7.3.3.'!M299</f>
        <v>0</v>
      </c>
      <c r="H40" s="401">
        <f>'[11]7.3.3.'!N299</f>
        <v>5322924</v>
      </c>
      <c r="I40" s="401">
        <f>'[11]7.3.3.'!O299</f>
        <v>0</v>
      </c>
      <c r="J40" s="408"/>
      <c r="K40" s="408"/>
      <c r="L40" s="408"/>
      <c r="M40" s="408"/>
      <c r="N40" s="408"/>
      <c r="O40" s="408"/>
      <c r="P40" s="408"/>
      <c r="Q40" s="408"/>
      <c r="R40" s="408"/>
      <c r="S40" s="408"/>
      <c r="T40" s="408"/>
      <c r="U40" s="408"/>
      <c r="V40" s="408"/>
      <c r="W40" s="408"/>
      <c r="X40" s="408"/>
      <c r="Y40" s="408"/>
      <c r="Z40" s="408"/>
      <c r="AA40" s="408"/>
      <c r="AB40" s="408"/>
      <c r="AC40" s="408"/>
      <c r="AD40" s="408"/>
      <c r="AE40" s="408"/>
      <c r="AF40" s="408"/>
      <c r="AG40" s="408"/>
      <c r="AH40" s="408"/>
      <c r="AI40" s="408"/>
      <c r="AJ40" s="408"/>
      <c r="AK40" s="408"/>
      <c r="AL40" s="408"/>
      <c r="AM40" s="408"/>
      <c r="AN40" s="408"/>
      <c r="AO40" s="408"/>
      <c r="AP40" s="408"/>
      <c r="AQ40" s="408"/>
      <c r="AR40" s="408"/>
      <c r="AS40" s="408"/>
      <c r="AT40" s="408"/>
      <c r="AU40" s="408"/>
      <c r="AV40" s="408"/>
      <c r="AW40" s="408"/>
      <c r="AX40" s="408"/>
      <c r="AY40" s="408"/>
      <c r="AZ40" s="408"/>
      <c r="BA40" s="408"/>
      <c r="BB40" s="408"/>
      <c r="BC40" s="408"/>
      <c r="BD40" s="408"/>
      <c r="BE40" s="408"/>
      <c r="BF40" s="408"/>
      <c r="BG40" s="408"/>
      <c r="BH40" s="408"/>
      <c r="BI40" s="408"/>
      <c r="BJ40" s="408"/>
    </row>
    <row r="41" spans="1:62" x14ac:dyDescent="0.25">
      <c r="A41" s="396">
        <f>A38+1</f>
        <v>11</v>
      </c>
      <c r="B41" s="397" t="s">
        <v>565</v>
      </c>
      <c r="C41" s="396">
        <f t="shared" ref="C41:I41" si="10">SUM(C42:C43)</f>
        <v>1233756</v>
      </c>
      <c r="D41" s="396">
        <f t="shared" si="10"/>
        <v>0</v>
      </c>
      <c r="E41" s="396">
        <f t="shared" si="10"/>
        <v>1233756</v>
      </c>
      <c r="F41" s="396">
        <f t="shared" si="10"/>
        <v>0</v>
      </c>
      <c r="G41" s="396">
        <f t="shared" si="10"/>
        <v>0</v>
      </c>
      <c r="H41" s="396">
        <f t="shared" si="10"/>
        <v>0</v>
      </c>
      <c r="I41" s="396">
        <f t="shared" si="10"/>
        <v>1233756</v>
      </c>
    </row>
    <row r="42" spans="1:62" s="404" customFormat="1" ht="15" customHeight="1" x14ac:dyDescent="0.2">
      <c r="A42" s="399">
        <f>A41+0.1</f>
        <v>11.1</v>
      </c>
      <c r="B42" s="400" t="s">
        <v>17</v>
      </c>
      <c r="C42" s="401">
        <f>'[11]7.3.3.'!I315</f>
        <v>370470</v>
      </c>
      <c r="D42" s="401">
        <f>'[11]7.3.3.'!J315</f>
        <v>0</v>
      </c>
      <c r="E42" s="401">
        <f>'[11]7.3.3.'!K315</f>
        <v>370470</v>
      </c>
      <c r="F42" s="401">
        <f>'[11]7.3.3.'!L315</f>
        <v>0</v>
      </c>
      <c r="G42" s="401">
        <f>'[11]7.3.3.'!M315</f>
        <v>0</v>
      </c>
      <c r="H42" s="401">
        <f>'[11]7.3.3.'!N315</f>
        <v>0</v>
      </c>
      <c r="I42" s="401">
        <f>'[11]7.3.3.'!O315</f>
        <v>370470</v>
      </c>
      <c r="J42" s="403"/>
      <c r="K42" s="403"/>
      <c r="L42" s="403"/>
      <c r="M42" s="403"/>
      <c r="N42" s="403"/>
      <c r="O42" s="403"/>
      <c r="P42" s="403"/>
      <c r="Q42" s="403"/>
      <c r="R42" s="403"/>
      <c r="S42" s="403"/>
      <c r="T42" s="403"/>
      <c r="U42" s="403"/>
      <c r="V42" s="403"/>
      <c r="W42" s="403"/>
      <c r="X42" s="403"/>
      <c r="Y42" s="403"/>
      <c r="Z42" s="403"/>
      <c r="AA42" s="403"/>
      <c r="AB42" s="403"/>
      <c r="AC42" s="403"/>
      <c r="AD42" s="403"/>
      <c r="AE42" s="403"/>
      <c r="AF42" s="403"/>
      <c r="AG42" s="403"/>
      <c r="AH42" s="403"/>
      <c r="AI42" s="403"/>
      <c r="AJ42" s="403"/>
      <c r="AK42" s="403"/>
      <c r="AL42" s="403"/>
      <c r="AM42" s="403"/>
      <c r="AN42" s="403"/>
      <c r="AO42" s="403"/>
      <c r="AP42" s="403"/>
      <c r="AQ42" s="403"/>
      <c r="AR42" s="403"/>
      <c r="AS42" s="403"/>
      <c r="AT42" s="403"/>
      <c r="AU42" s="403"/>
      <c r="AV42" s="403"/>
      <c r="AW42" s="403"/>
      <c r="AX42" s="403"/>
      <c r="AY42" s="403"/>
      <c r="AZ42" s="403"/>
      <c r="BA42" s="403"/>
      <c r="BB42" s="403"/>
      <c r="BC42" s="403"/>
      <c r="BD42" s="403"/>
      <c r="BE42" s="403"/>
      <c r="BF42" s="403"/>
      <c r="BG42" s="403"/>
      <c r="BH42" s="403"/>
      <c r="BI42" s="403"/>
      <c r="BJ42" s="403"/>
    </row>
    <row r="43" spans="1:62" s="409" customFormat="1" ht="15" customHeight="1" x14ac:dyDescent="0.2">
      <c r="A43" s="405">
        <f>A42+0.1</f>
        <v>11.2</v>
      </c>
      <c r="B43" s="406" t="s">
        <v>19</v>
      </c>
      <c r="C43" s="401">
        <f>'[11]7.3.3.'!I318</f>
        <v>863286</v>
      </c>
      <c r="D43" s="401">
        <f>'[11]7.3.3.'!J318</f>
        <v>0</v>
      </c>
      <c r="E43" s="401">
        <f>'[11]7.3.3.'!K318</f>
        <v>863286</v>
      </c>
      <c r="F43" s="401">
        <f>'[11]7.3.3.'!L318</f>
        <v>0</v>
      </c>
      <c r="G43" s="401">
        <f>'[11]7.3.3.'!M318</f>
        <v>0</v>
      </c>
      <c r="H43" s="401">
        <f>'[11]7.3.3.'!N318</f>
        <v>0</v>
      </c>
      <c r="I43" s="401">
        <f>'[11]7.3.3.'!O318</f>
        <v>863286</v>
      </c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8"/>
      <c r="W43" s="408"/>
      <c r="X43" s="408"/>
      <c r="Y43" s="408"/>
      <c r="Z43" s="408"/>
      <c r="AA43" s="408"/>
      <c r="AB43" s="408"/>
      <c r="AC43" s="408"/>
      <c r="AD43" s="408"/>
      <c r="AE43" s="408"/>
      <c r="AF43" s="408"/>
      <c r="AG43" s="408"/>
      <c r="AH43" s="408"/>
      <c r="AI43" s="408"/>
      <c r="AJ43" s="408"/>
      <c r="AK43" s="408"/>
      <c r="AL43" s="408"/>
      <c r="AM43" s="408"/>
      <c r="AN43" s="408"/>
      <c r="AO43" s="408"/>
      <c r="AP43" s="408"/>
      <c r="AQ43" s="408"/>
      <c r="AR43" s="408"/>
      <c r="AS43" s="408"/>
      <c r="AT43" s="408"/>
      <c r="AU43" s="408"/>
      <c r="AV43" s="408"/>
      <c r="AW43" s="408"/>
      <c r="AX43" s="408"/>
      <c r="AY43" s="408"/>
      <c r="AZ43" s="408"/>
      <c r="BA43" s="408"/>
      <c r="BB43" s="408"/>
      <c r="BC43" s="408"/>
      <c r="BD43" s="408"/>
      <c r="BE43" s="408"/>
      <c r="BF43" s="408"/>
      <c r="BG43" s="408"/>
      <c r="BH43" s="408"/>
      <c r="BI43" s="408"/>
      <c r="BJ43" s="408"/>
    </row>
    <row r="44" spans="1:62" x14ac:dyDescent="0.25">
      <c r="A44" s="396">
        <f>A41+1</f>
        <v>12</v>
      </c>
      <c r="B44" s="397" t="s">
        <v>566</v>
      </c>
      <c r="C44" s="396">
        <f t="shared" ref="C44:I44" si="11">SUM(C45:C46)</f>
        <v>4543215</v>
      </c>
      <c r="D44" s="396">
        <f t="shared" si="11"/>
        <v>0</v>
      </c>
      <c r="E44" s="396">
        <f t="shared" si="11"/>
        <v>4543215</v>
      </c>
      <c r="F44" s="396">
        <f t="shared" si="11"/>
        <v>0</v>
      </c>
      <c r="G44" s="396">
        <f t="shared" si="11"/>
        <v>0</v>
      </c>
      <c r="H44" s="396">
        <f t="shared" si="11"/>
        <v>0</v>
      </c>
      <c r="I44" s="396">
        <f t="shared" si="11"/>
        <v>4543215</v>
      </c>
    </row>
    <row r="45" spans="1:62" s="404" customFormat="1" ht="15" customHeight="1" x14ac:dyDescent="0.2">
      <c r="A45" s="399">
        <f>A44+0.1</f>
        <v>12.1</v>
      </c>
      <c r="B45" s="400" t="s">
        <v>17</v>
      </c>
      <c r="C45" s="401">
        <f>'[11]7.3.3.'!I331</f>
        <v>645043</v>
      </c>
      <c r="D45" s="401">
        <f>'[11]7.3.3.'!J331</f>
        <v>0</v>
      </c>
      <c r="E45" s="401">
        <f>'[11]7.3.3.'!K331</f>
        <v>645043</v>
      </c>
      <c r="F45" s="401">
        <f>'[11]7.3.3.'!L331</f>
        <v>0</v>
      </c>
      <c r="G45" s="401">
        <f>'[11]7.3.3.'!M331</f>
        <v>0</v>
      </c>
      <c r="H45" s="401">
        <f>'[11]7.3.3.'!N331</f>
        <v>0</v>
      </c>
      <c r="I45" s="401">
        <f>'[11]7.3.3.'!O331</f>
        <v>645043</v>
      </c>
      <c r="J45" s="403"/>
      <c r="K45" s="403"/>
      <c r="L45" s="403"/>
      <c r="M45" s="403"/>
      <c r="N45" s="403"/>
      <c r="O45" s="403"/>
      <c r="P45" s="403"/>
      <c r="Q45" s="403"/>
      <c r="R45" s="403"/>
      <c r="S45" s="403"/>
      <c r="T45" s="403"/>
      <c r="U45" s="403"/>
      <c r="V45" s="403"/>
      <c r="W45" s="403"/>
      <c r="X45" s="403"/>
      <c r="Y45" s="403"/>
      <c r="Z45" s="403"/>
      <c r="AA45" s="403"/>
      <c r="AB45" s="403"/>
      <c r="AC45" s="403"/>
      <c r="AD45" s="403"/>
      <c r="AE45" s="403"/>
      <c r="AF45" s="403"/>
      <c r="AG45" s="403"/>
      <c r="AH45" s="403"/>
      <c r="AI45" s="403"/>
      <c r="AJ45" s="403"/>
      <c r="AK45" s="403"/>
      <c r="AL45" s="403"/>
      <c r="AM45" s="403"/>
      <c r="AN45" s="403"/>
      <c r="AO45" s="403"/>
      <c r="AP45" s="403"/>
      <c r="AQ45" s="403"/>
      <c r="AR45" s="403"/>
      <c r="AS45" s="403"/>
      <c r="AT45" s="403"/>
      <c r="AU45" s="403"/>
      <c r="AV45" s="403"/>
      <c r="AW45" s="403"/>
      <c r="AX45" s="403"/>
      <c r="AY45" s="403"/>
      <c r="AZ45" s="403"/>
      <c r="BA45" s="403"/>
      <c r="BB45" s="403"/>
      <c r="BC45" s="403"/>
      <c r="BD45" s="403"/>
      <c r="BE45" s="403"/>
      <c r="BF45" s="403"/>
      <c r="BG45" s="403"/>
      <c r="BH45" s="403"/>
      <c r="BI45" s="403"/>
      <c r="BJ45" s="403"/>
    </row>
    <row r="46" spans="1:62" s="409" customFormat="1" ht="15" customHeight="1" x14ac:dyDescent="0.2">
      <c r="A46" s="405">
        <f>A45+0.1</f>
        <v>12.2</v>
      </c>
      <c r="B46" s="406" t="s">
        <v>19</v>
      </c>
      <c r="C46" s="401">
        <f>'[11]7.3.3.'!I336</f>
        <v>3898172</v>
      </c>
      <c r="D46" s="401">
        <f>'[11]7.3.3.'!J336</f>
        <v>0</v>
      </c>
      <c r="E46" s="401">
        <f>'[11]7.3.3.'!K336</f>
        <v>3898172</v>
      </c>
      <c r="F46" s="401">
        <f>'[11]7.3.3.'!L336</f>
        <v>0</v>
      </c>
      <c r="G46" s="401">
        <f>'[11]7.3.3.'!M336</f>
        <v>0</v>
      </c>
      <c r="H46" s="401">
        <f>'[11]7.3.3.'!N336</f>
        <v>0</v>
      </c>
      <c r="I46" s="401">
        <f>'[11]7.3.3.'!O336</f>
        <v>3898172</v>
      </c>
      <c r="J46" s="408"/>
      <c r="K46" s="408"/>
      <c r="L46" s="408"/>
      <c r="M46" s="408"/>
      <c r="N46" s="408"/>
      <c r="O46" s="408"/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  <c r="AB46" s="408"/>
      <c r="AC46" s="408"/>
      <c r="AD46" s="408"/>
      <c r="AE46" s="408"/>
      <c r="AF46" s="408"/>
      <c r="AG46" s="408"/>
      <c r="AH46" s="408"/>
      <c r="AI46" s="408"/>
      <c r="AJ46" s="408"/>
      <c r="AK46" s="408"/>
      <c r="AL46" s="408"/>
      <c r="AM46" s="408"/>
      <c r="AN46" s="408"/>
      <c r="AO46" s="408"/>
      <c r="AP46" s="408"/>
      <c r="AQ46" s="408"/>
      <c r="AR46" s="408"/>
      <c r="AS46" s="408"/>
      <c r="AT46" s="408"/>
      <c r="AU46" s="408"/>
      <c r="AV46" s="408"/>
      <c r="AW46" s="408"/>
      <c r="AX46" s="408"/>
      <c r="AY46" s="408"/>
      <c r="AZ46" s="408"/>
      <c r="BA46" s="408"/>
      <c r="BB46" s="408"/>
      <c r="BC46" s="408"/>
      <c r="BD46" s="408"/>
      <c r="BE46" s="408"/>
      <c r="BF46" s="408"/>
      <c r="BG46" s="408"/>
      <c r="BH46" s="408"/>
      <c r="BI46" s="408"/>
      <c r="BJ46" s="408"/>
    </row>
    <row r="47" spans="1:62" x14ac:dyDescent="0.25">
      <c r="A47" s="396">
        <f>A44+1</f>
        <v>13</v>
      </c>
      <c r="B47" s="397" t="s">
        <v>567</v>
      </c>
      <c r="C47" s="396">
        <f t="shared" ref="C47:I47" si="12">SUM(C48:C49)</f>
        <v>7917255</v>
      </c>
      <c r="D47" s="396">
        <f t="shared" si="12"/>
        <v>3356738</v>
      </c>
      <c r="E47" s="396">
        <f t="shared" si="12"/>
        <v>4185374</v>
      </c>
      <c r="F47" s="396">
        <f t="shared" si="12"/>
        <v>375143</v>
      </c>
      <c r="G47" s="396">
        <f t="shared" si="12"/>
        <v>0</v>
      </c>
      <c r="H47" s="396">
        <f t="shared" si="12"/>
        <v>3356738</v>
      </c>
      <c r="I47" s="396">
        <f t="shared" si="12"/>
        <v>4560517</v>
      </c>
    </row>
    <row r="48" spans="1:62" s="404" customFormat="1" ht="15" customHeight="1" x14ac:dyDescent="0.2">
      <c r="A48" s="399">
        <f>A47+0.1</f>
        <v>13.1</v>
      </c>
      <c r="B48" s="400" t="s">
        <v>17</v>
      </c>
      <c r="C48" s="401">
        <f>'[11]7.3.3.'!I354</f>
        <v>4276354</v>
      </c>
      <c r="D48" s="401">
        <f>'[11]7.3.3.'!J354</f>
        <v>3356738</v>
      </c>
      <c r="E48" s="401">
        <f>'[11]7.3.3.'!K354</f>
        <v>919616</v>
      </c>
      <c r="F48" s="401">
        <f>'[11]7.3.3.'!L354</f>
        <v>0</v>
      </c>
      <c r="G48" s="401">
        <f>'[11]7.3.3.'!M354</f>
        <v>0</v>
      </c>
      <c r="H48" s="401">
        <f>'[11]7.3.3.'!N354</f>
        <v>3356738</v>
      </c>
      <c r="I48" s="401">
        <f>'[11]7.3.3.'!O354</f>
        <v>919616</v>
      </c>
      <c r="J48" s="403"/>
      <c r="K48" s="403"/>
      <c r="L48" s="403"/>
      <c r="M48" s="403"/>
      <c r="N48" s="403"/>
      <c r="O48" s="403"/>
      <c r="P48" s="403"/>
      <c r="Q48" s="403"/>
      <c r="R48" s="403"/>
      <c r="S48" s="403"/>
      <c r="T48" s="403"/>
      <c r="U48" s="403"/>
      <c r="V48" s="403"/>
      <c r="W48" s="403"/>
      <c r="X48" s="403"/>
      <c r="Y48" s="403"/>
      <c r="Z48" s="403"/>
      <c r="AA48" s="403"/>
      <c r="AB48" s="403"/>
      <c r="AC48" s="403"/>
      <c r="AD48" s="403"/>
      <c r="AE48" s="403"/>
      <c r="AF48" s="403"/>
      <c r="AG48" s="403"/>
      <c r="AH48" s="403"/>
      <c r="AI48" s="403"/>
      <c r="AJ48" s="403"/>
      <c r="AK48" s="403"/>
      <c r="AL48" s="403"/>
      <c r="AM48" s="403"/>
      <c r="AN48" s="403"/>
      <c r="AO48" s="403"/>
      <c r="AP48" s="403"/>
      <c r="AQ48" s="403"/>
      <c r="AR48" s="403"/>
      <c r="AS48" s="403"/>
      <c r="AT48" s="403"/>
      <c r="AU48" s="403"/>
      <c r="AV48" s="403"/>
      <c r="AW48" s="403"/>
      <c r="AX48" s="403"/>
      <c r="AY48" s="403"/>
      <c r="AZ48" s="403"/>
      <c r="BA48" s="403"/>
      <c r="BB48" s="403"/>
      <c r="BC48" s="403"/>
      <c r="BD48" s="403"/>
      <c r="BE48" s="403"/>
      <c r="BF48" s="403"/>
      <c r="BG48" s="403"/>
      <c r="BH48" s="403"/>
      <c r="BI48" s="403"/>
      <c r="BJ48" s="403"/>
    </row>
    <row r="49" spans="1:62" s="409" customFormat="1" ht="15" customHeight="1" x14ac:dyDescent="0.2">
      <c r="A49" s="405">
        <f>A48+0.1</f>
        <v>13.2</v>
      </c>
      <c r="B49" s="406" t="s">
        <v>19</v>
      </c>
      <c r="C49" s="401">
        <f>'[11]7.3.3.'!I374</f>
        <v>3640901</v>
      </c>
      <c r="D49" s="401">
        <f>'[11]7.3.3.'!J374</f>
        <v>0</v>
      </c>
      <c r="E49" s="401">
        <f>'[11]7.3.3.'!K374</f>
        <v>3265758</v>
      </c>
      <c r="F49" s="401">
        <f>'[11]7.3.3.'!L374</f>
        <v>375143</v>
      </c>
      <c r="G49" s="401">
        <f>'[11]7.3.3.'!M374</f>
        <v>0</v>
      </c>
      <c r="H49" s="401">
        <f>'[11]7.3.3.'!N374</f>
        <v>0</v>
      </c>
      <c r="I49" s="401">
        <f>'[11]7.3.3.'!O374</f>
        <v>3640901</v>
      </c>
      <c r="J49" s="408"/>
      <c r="K49" s="408"/>
      <c r="L49" s="408"/>
      <c r="M49" s="408"/>
      <c r="N49" s="408"/>
      <c r="O49" s="408"/>
      <c r="P49" s="408"/>
      <c r="Q49" s="408"/>
      <c r="R49" s="408"/>
      <c r="S49" s="408"/>
      <c r="T49" s="408"/>
      <c r="U49" s="408"/>
      <c r="V49" s="408"/>
      <c r="W49" s="408"/>
      <c r="X49" s="408"/>
      <c r="Y49" s="408"/>
      <c r="Z49" s="408"/>
      <c r="AA49" s="408"/>
      <c r="AB49" s="408"/>
      <c r="AC49" s="408"/>
      <c r="AD49" s="408"/>
      <c r="AE49" s="408"/>
      <c r="AF49" s="408"/>
      <c r="AG49" s="408"/>
      <c r="AH49" s="408"/>
      <c r="AI49" s="408"/>
      <c r="AJ49" s="408"/>
      <c r="AK49" s="408"/>
      <c r="AL49" s="408"/>
      <c r="AM49" s="408"/>
      <c r="AN49" s="408"/>
      <c r="AO49" s="408"/>
      <c r="AP49" s="408"/>
      <c r="AQ49" s="408"/>
      <c r="AR49" s="408"/>
      <c r="AS49" s="408"/>
      <c r="AT49" s="408"/>
      <c r="AU49" s="408"/>
      <c r="AV49" s="408"/>
      <c r="AW49" s="408"/>
      <c r="AX49" s="408"/>
      <c r="AY49" s="408"/>
      <c r="AZ49" s="408"/>
      <c r="BA49" s="408"/>
      <c r="BB49" s="408"/>
      <c r="BC49" s="408"/>
      <c r="BD49" s="408"/>
      <c r="BE49" s="408"/>
      <c r="BF49" s="408"/>
      <c r="BG49" s="408"/>
      <c r="BH49" s="408"/>
      <c r="BI49" s="408"/>
      <c r="BJ49" s="408"/>
    </row>
    <row r="50" spans="1:62" x14ac:dyDescent="0.25">
      <c r="A50" s="396">
        <f>A47+1</f>
        <v>14</v>
      </c>
      <c r="B50" s="397" t="s">
        <v>568</v>
      </c>
      <c r="C50" s="396">
        <f t="shared" ref="C50:I50" si="13">SUM(C51:C52)</f>
        <v>0</v>
      </c>
      <c r="D50" s="396">
        <f t="shared" si="13"/>
        <v>0</v>
      </c>
      <c r="E50" s="396">
        <f>SUM(E51:E52)</f>
        <v>0</v>
      </c>
      <c r="F50" s="396">
        <f t="shared" si="13"/>
        <v>0</v>
      </c>
      <c r="G50" s="396">
        <f t="shared" si="13"/>
        <v>0</v>
      </c>
      <c r="H50" s="396">
        <f t="shared" si="13"/>
        <v>0</v>
      </c>
      <c r="I50" s="396">
        <f t="shared" si="13"/>
        <v>0</v>
      </c>
    </row>
    <row r="51" spans="1:62" s="404" customFormat="1" ht="15" customHeight="1" x14ac:dyDescent="0.2">
      <c r="A51" s="399">
        <f>A50+0.1</f>
        <v>14.1</v>
      </c>
      <c r="B51" s="400" t="s">
        <v>17</v>
      </c>
      <c r="C51" s="401">
        <f>'[11]7.3.3.'!I396</f>
        <v>0</v>
      </c>
      <c r="D51" s="401">
        <f>'[11]7.3.3.'!J396</f>
        <v>0</v>
      </c>
      <c r="E51" s="401">
        <f>'[11]7.3.3.'!K396</f>
        <v>0</v>
      </c>
      <c r="F51" s="401">
        <f>'[11]7.3.3.'!L396</f>
        <v>0</v>
      </c>
      <c r="G51" s="401">
        <f>'[11]7.3.3.'!M396</f>
        <v>0</v>
      </c>
      <c r="H51" s="401">
        <f>'[11]7.3.3.'!N396</f>
        <v>0</v>
      </c>
      <c r="I51" s="401">
        <f>'[11]7.3.3.'!O396</f>
        <v>0</v>
      </c>
      <c r="J51" s="403"/>
      <c r="K51" s="403"/>
      <c r="L51" s="403"/>
      <c r="M51" s="403"/>
      <c r="N51" s="403"/>
      <c r="O51" s="403"/>
      <c r="P51" s="403"/>
      <c r="Q51" s="403"/>
      <c r="R51" s="403"/>
      <c r="S51" s="403"/>
      <c r="T51" s="403"/>
      <c r="U51" s="403"/>
      <c r="V51" s="403"/>
      <c r="W51" s="403"/>
      <c r="X51" s="403"/>
      <c r="Y51" s="403"/>
      <c r="Z51" s="403"/>
      <c r="AA51" s="403"/>
      <c r="AB51" s="403"/>
      <c r="AC51" s="403"/>
      <c r="AD51" s="403"/>
      <c r="AE51" s="403"/>
      <c r="AF51" s="403"/>
      <c r="AG51" s="403"/>
      <c r="AH51" s="403"/>
      <c r="AI51" s="403"/>
      <c r="AJ51" s="403"/>
      <c r="AK51" s="403"/>
      <c r="AL51" s="403"/>
      <c r="AM51" s="403"/>
      <c r="AN51" s="403"/>
      <c r="AO51" s="403"/>
      <c r="AP51" s="403"/>
      <c r="AQ51" s="403"/>
      <c r="AR51" s="403"/>
      <c r="AS51" s="403"/>
      <c r="AT51" s="403"/>
      <c r="AU51" s="403"/>
      <c r="AV51" s="403"/>
      <c r="AW51" s="403"/>
      <c r="AX51" s="403"/>
      <c r="AY51" s="403"/>
      <c r="AZ51" s="403"/>
      <c r="BA51" s="403"/>
      <c r="BB51" s="403"/>
      <c r="BC51" s="403"/>
      <c r="BD51" s="403"/>
      <c r="BE51" s="403"/>
      <c r="BF51" s="403"/>
      <c r="BG51" s="403"/>
      <c r="BH51" s="403"/>
      <c r="BI51" s="403"/>
      <c r="BJ51" s="403"/>
    </row>
    <row r="52" spans="1:62" s="409" customFormat="1" ht="15" customHeight="1" x14ac:dyDescent="0.2">
      <c r="A52" s="405">
        <f>A51+0.1</f>
        <v>14.2</v>
      </c>
      <c r="B52" s="406" t="s">
        <v>19</v>
      </c>
      <c r="C52" s="401">
        <f>'[11]7.3.3.'!I398</f>
        <v>0</v>
      </c>
      <c r="D52" s="401">
        <f>'[11]7.3.3.'!J398</f>
        <v>0</v>
      </c>
      <c r="E52" s="401">
        <f>'[11]7.3.3.'!K398</f>
        <v>0</v>
      </c>
      <c r="F52" s="401">
        <f>'[11]7.3.3.'!L398</f>
        <v>0</v>
      </c>
      <c r="G52" s="401">
        <f>'[11]7.3.3.'!M398</f>
        <v>0</v>
      </c>
      <c r="H52" s="401">
        <f>'[11]7.3.3.'!N398</f>
        <v>0</v>
      </c>
      <c r="I52" s="401">
        <f>'[11]7.3.3.'!O398</f>
        <v>0</v>
      </c>
      <c r="J52" s="408"/>
      <c r="K52" s="408"/>
      <c r="L52" s="408"/>
      <c r="M52" s="408"/>
      <c r="N52" s="408"/>
      <c r="O52" s="408"/>
      <c r="P52" s="408"/>
      <c r="Q52" s="408"/>
      <c r="R52" s="408"/>
      <c r="S52" s="408"/>
      <c r="T52" s="408"/>
      <c r="U52" s="408"/>
      <c r="V52" s="408"/>
      <c r="W52" s="408"/>
      <c r="X52" s="408"/>
      <c r="Y52" s="408"/>
      <c r="Z52" s="408"/>
      <c r="AA52" s="408"/>
      <c r="AB52" s="408"/>
      <c r="AC52" s="408"/>
      <c r="AD52" s="408"/>
      <c r="AE52" s="408"/>
      <c r="AF52" s="408"/>
      <c r="AG52" s="408"/>
      <c r="AH52" s="408"/>
      <c r="AI52" s="408"/>
      <c r="AJ52" s="408"/>
      <c r="AK52" s="408"/>
      <c r="AL52" s="408"/>
      <c r="AM52" s="408"/>
      <c r="AN52" s="408"/>
      <c r="AO52" s="408"/>
      <c r="AP52" s="408"/>
      <c r="AQ52" s="408"/>
      <c r="AR52" s="408"/>
      <c r="AS52" s="408"/>
      <c r="AT52" s="408"/>
      <c r="AU52" s="408"/>
      <c r="AV52" s="408"/>
      <c r="AW52" s="408"/>
      <c r="AX52" s="408"/>
      <c r="AY52" s="408"/>
      <c r="AZ52" s="408"/>
      <c r="BA52" s="408"/>
      <c r="BB52" s="408"/>
      <c r="BC52" s="408"/>
      <c r="BD52" s="408"/>
      <c r="BE52" s="408"/>
      <c r="BF52" s="408"/>
      <c r="BG52" s="408"/>
      <c r="BH52" s="408"/>
      <c r="BI52" s="408"/>
      <c r="BJ52" s="408"/>
    </row>
    <row r="53" spans="1:62" x14ac:dyDescent="0.25">
      <c r="A53" s="396">
        <f>A50+1</f>
        <v>15</v>
      </c>
      <c r="B53" s="397" t="s">
        <v>569</v>
      </c>
      <c r="C53" s="396">
        <f t="shared" ref="C53:I53" si="14">SUM(C54:C55)</f>
        <v>903088</v>
      </c>
      <c r="D53" s="396">
        <f t="shared" si="14"/>
        <v>903088</v>
      </c>
      <c r="E53" s="396">
        <f t="shared" si="14"/>
        <v>0</v>
      </c>
      <c r="F53" s="396">
        <f t="shared" si="14"/>
        <v>0</v>
      </c>
      <c r="G53" s="396">
        <f t="shared" si="14"/>
        <v>0</v>
      </c>
      <c r="H53" s="396">
        <f t="shared" si="14"/>
        <v>0</v>
      </c>
      <c r="I53" s="396">
        <f t="shared" si="14"/>
        <v>903088</v>
      </c>
    </row>
    <row r="54" spans="1:62" s="404" customFormat="1" ht="15" customHeight="1" x14ac:dyDescent="0.2">
      <c r="A54" s="399">
        <f>A53+0.1</f>
        <v>15.1</v>
      </c>
      <c r="B54" s="400" t="s">
        <v>17</v>
      </c>
      <c r="C54" s="401">
        <f>'[11]7.3.3.'!I408</f>
        <v>741444</v>
      </c>
      <c r="D54" s="401">
        <f>'[11]7.3.3.'!J408</f>
        <v>741444</v>
      </c>
      <c r="E54" s="401">
        <f>'[11]7.3.3.'!K408</f>
        <v>0</v>
      </c>
      <c r="F54" s="401">
        <f>'[11]7.3.3.'!L408</f>
        <v>0</v>
      </c>
      <c r="G54" s="401">
        <f>'[11]7.3.3.'!M408</f>
        <v>0</v>
      </c>
      <c r="H54" s="401">
        <f>'[11]7.3.3.'!N408</f>
        <v>0</v>
      </c>
      <c r="I54" s="401">
        <f>'[11]7.3.3.'!O408</f>
        <v>741444</v>
      </c>
      <c r="J54" s="403"/>
      <c r="K54" s="403"/>
      <c r="L54" s="403"/>
      <c r="M54" s="403"/>
      <c r="N54" s="403"/>
      <c r="O54" s="403"/>
      <c r="P54" s="403"/>
      <c r="Q54" s="403"/>
      <c r="R54" s="403"/>
      <c r="S54" s="403"/>
      <c r="T54" s="403"/>
      <c r="U54" s="403"/>
      <c r="V54" s="403"/>
      <c r="W54" s="403"/>
      <c r="X54" s="403"/>
      <c r="Y54" s="403"/>
      <c r="Z54" s="403"/>
      <c r="AA54" s="403"/>
      <c r="AB54" s="403"/>
      <c r="AC54" s="403"/>
      <c r="AD54" s="403"/>
      <c r="AE54" s="403"/>
      <c r="AF54" s="403"/>
      <c r="AG54" s="403"/>
      <c r="AH54" s="403"/>
      <c r="AI54" s="403"/>
      <c r="AJ54" s="403"/>
      <c r="AK54" s="403"/>
      <c r="AL54" s="403"/>
      <c r="AM54" s="403"/>
      <c r="AN54" s="403"/>
      <c r="AO54" s="403"/>
      <c r="AP54" s="403"/>
      <c r="AQ54" s="403"/>
      <c r="AR54" s="403"/>
      <c r="AS54" s="403"/>
      <c r="AT54" s="403"/>
      <c r="AU54" s="403"/>
      <c r="AV54" s="403"/>
      <c r="AW54" s="403"/>
      <c r="AX54" s="403"/>
      <c r="AY54" s="403"/>
      <c r="AZ54" s="403"/>
      <c r="BA54" s="403"/>
      <c r="BB54" s="403"/>
      <c r="BC54" s="403"/>
      <c r="BD54" s="403"/>
      <c r="BE54" s="403"/>
      <c r="BF54" s="403"/>
      <c r="BG54" s="403"/>
      <c r="BH54" s="403"/>
      <c r="BI54" s="403"/>
      <c r="BJ54" s="403"/>
    </row>
    <row r="55" spans="1:62" s="409" customFormat="1" ht="15" customHeight="1" x14ac:dyDescent="0.2">
      <c r="A55" s="405">
        <f>A54+0.1</f>
        <v>15.2</v>
      </c>
      <c r="B55" s="406" t="s">
        <v>19</v>
      </c>
      <c r="C55" s="401">
        <f>'[11]7.3.3.'!I410</f>
        <v>161644</v>
      </c>
      <c r="D55" s="401">
        <f>'[11]7.3.3.'!J410</f>
        <v>161644</v>
      </c>
      <c r="E55" s="401">
        <f>'[11]7.3.3.'!K410</f>
        <v>0</v>
      </c>
      <c r="F55" s="401">
        <f>'[11]7.3.3.'!L410</f>
        <v>0</v>
      </c>
      <c r="G55" s="401">
        <f>'[11]7.3.3.'!M410</f>
        <v>0</v>
      </c>
      <c r="H55" s="401">
        <f>'[11]7.3.3.'!N410</f>
        <v>0</v>
      </c>
      <c r="I55" s="401">
        <f>'[11]7.3.3.'!O410</f>
        <v>161644</v>
      </c>
      <c r="J55" s="408"/>
      <c r="K55" s="408"/>
      <c r="L55" s="408"/>
      <c r="M55" s="408"/>
      <c r="N55" s="408"/>
      <c r="O55" s="408"/>
      <c r="P55" s="408"/>
      <c r="Q55" s="408"/>
      <c r="R55" s="408"/>
      <c r="S55" s="408"/>
      <c r="T55" s="408"/>
      <c r="U55" s="408"/>
      <c r="V55" s="408"/>
      <c r="W55" s="408"/>
      <c r="X55" s="408"/>
      <c r="Y55" s="408"/>
      <c r="Z55" s="408"/>
      <c r="AA55" s="408"/>
      <c r="AB55" s="408"/>
      <c r="AC55" s="408"/>
      <c r="AD55" s="408"/>
      <c r="AE55" s="408"/>
      <c r="AF55" s="408"/>
      <c r="AG55" s="408"/>
      <c r="AH55" s="408"/>
      <c r="AI55" s="408"/>
      <c r="AJ55" s="408"/>
      <c r="AK55" s="408"/>
      <c r="AL55" s="408"/>
      <c r="AM55" s="408"/>
      <c r="AN55" s="408"/>
      <c r="AO55" s="408"/>
      <c r="AP55" s="408"/>
      <c r="AQ55" s="408"/>
      <c r="AR55" s="408"/>
      <c r="AS55" s="408"/>
      <c r="AT55" s="408"/>
      <c r="AU55" s="408"/>
      <c r="AV55" s="408"/>
      <c r="AW55" s="408"/>
      <c r="AX55" s="408"/>
      <c r="AY55" s="408"/>
      <c r="AZ55" s="408"/>
      <c r="BA55" s="408"/>
      <c r="BB55" s="408"/>
      <c r="BC55" s="408"/>
      <c r="BD55" s="408"/>
      <c r="BE55" s="408"/>
      <c r="BF55" s="408"/>
      <c r="BG55" s="408"/>
      <c r="BH55" s="408"/>
      <c r="BI55" s="408"/>
      <c r="BJ55" s="408"/>
    </row>
    <row r="56" spans="1:62" x14ac:dyDescent="0.25">
      <c r="A56" s="396">
        <f>A53+1</f>
        <v>16</v>
      </c>
      <c r="B56" s="397" t="s">
        <v>570</v>
      </c>
      <c r="C56" s="396">
        <f t="shared" ref="C56:I56" si="15">SUM(C57:C58)</f>
        <v>6226048</v>
      </c>
      <c r="D56" s="396">
        <f>SUM(D57:D58)</f>
        <v>3856623</v>
      </c>
      <c r="E56" s="396">
        <f t="shared" si="15"/>
        <v>2369425</v>
      </c>
      <c r="F56" s="396">
        <f t="shared" si="15"/>
        <v>0</v>
      </c>
      <c r="G56" s="396">
        <f t="shared" si="15"/>
        <v>0</v>
      </c>
      <c r="H56" s="396">
        <f t="shared" si="15"/>
        <v>0</v>
      </c>
      <c r="I56" s="396">
        <f t="shared" si="15"/>
        <v>6226048</v>
      </c>
    </row>
    <row r="57" spans="1:62" s="404" customFormat="1" ht="15" customHeight="1" x14ac:dyDescent="0.2">
      <c r="A57" s="399">
        <f>A56+0.1</f>
        <v>16.100000000000001</v>
      </c>
      <c r="B57" s="400" t="s">
        <v>17</v>
      </c>
      <c r="C57" s="401">
        <f>'[11]7.3.3.'!I423</f>
        <v>2268261</v>
      </c>
      <c r="D57" s="401">
        <f>'[11]7.3.3.'!J423</f>
        <v>1321022</v>
      </c>
      <c r="E57" s="401">
        <f>'[11]7.3.3.'!K423</f>
        <v>947239</v>
      </c>
      <c r="F57" s="401">
        <f>'[11]7.3.3.'!L423</f>
        <v>0</v>
      </c>
      <c r="G57" s="401">
        <f>'[11]7.3.3.'!M423</f>
        <v>0</v>
      </c>
      <c r="H57" s="401">
        <f>'[11]7.3.3.'!N423</f>
        <v>0</v>
      </c>
      <c r="I57" s="401">
        <f>'[11]7.3.3.'!O423</f>
        <v>2268261</v>
      </c>
      <c r="J57" s="403"/>
      <c r="K57" s="403"/>
      <c r="L57" s="403"/>
      <c r="M57" s="403"/>
      <c r="N57" s="403"/>
      <c r="O57" s="403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3"/>
      <c r="AA57" s="403"/>
      <c r="AB57" s="403"/>
      <c r="AC57" s="403"/>
      <c r="AD57" s="403"/>
      <c r="AE57" s="403"/>
      <c r="AF57" s="403"/>
      <c r="AG57" s="403"/>
      <c r="AH57" s="403"/>
      <c r="AI57" s="403"/>
      <c r="AJ57" s="403"/>
      <c r="AK57" s="403"/>
      <c r="AL57" s="403"/>
      <c r="AM57" s="403"/>
      <c r="AN57" s="403"/>
      <c r="AO57" s="403"/>
      <c r="AP57" s="403"/>
      <c r="AQ57" s="403"/>
      <c r="AR57" s="403"/>
      <c r="AS57" s="403"/>
      <c r="AT57" s="403"/>
      <c r="AU57" s="403"/>
      <c r="AV57" s="403"/>
      <c r="AW57" s="403"/>
      <c r="AX57" s="403"/>
      <c r="AY57" s="403"/>
      <c r="AZ57" s="403"/>
      <c r="BA57" s="403"/>
      <c r="BB57" s="403"/>
      <c r="BC57" s="403"/>
      <c r="BD57" s="403"/>
      <c r="BE57" s="403"/>
      <c r="BF57" s="403"/>
      <c r="BG57" s="403"/>
      <c r="BH57" s="403"/>
      <c r="BI57" s="403"/>
      <c r="BJ57" s="403"/>
    </row>
    <row r="58" spans="1:62" s="409" customFormat="1" ht="15" customHeight="1" x14ac:dyDescent="0.2">
      <c r="A58" s="405">
        <f>A57+0.1</f>
        <v>16.200000000000003</v>
      </c>
      <c r="B58" s="406" t="s">
        <v>19</v>
      </c>
      <c r="C58" s="401">
        <f>'[11]7.3.3.'!I434</f>
        <v>3957787</v>
      </c>
      <c r="D58" s="401">
        <f>'[11]7.3.3.'!J434</f>
        <v>2535601</v>
      </c>
      <c r="E58" s="401">
        <f>'[11]7.3.3.'!K434</f>
        <v>1422186</v>
      </c>
      <c r="F58" s="401">
        <f>'[11]7.3.3.'!L434</f>
        <v>0</v>
      </c>
      <c r="G58" s="401">
        <f>'[11]7.3.3.'!M434</f>
        <v>0</v>
      </c>
      <c r="H58" s="401">
        <f>'[11]7.3.3.'!N434</f>
        <v>0</v>
      </c>
      <c r="I58" s="401">
        <f>'[11]7.3.3.'!O434</f>
        <v>3957787</v>
      </c>
      <c r="J58" s="408"/>
      <c r="K58" s="408"/>
      <c r="L58" s="408"/>
      <c r="M58" s="408"/>
      <c r="N58" s="408"/>
      <c r="O58" s="408"/>
      <c r="P58" s="408"/>
      <c r="Q58" s="408"/>
      <c r="R58" s="408"/>
      <c r="S58" s="408"/>
      <c r="T58" s="408"/>
      <c r="U58" s="408"/>
      <c r="V58" s="408"/>
      <c r="W58" s="408"/>
      <c r="X58" s="408"/>
      <c r="Y58" s="408"/>
      <c r="Z58" s="408"/>
      <c r="AA58" s="408"/>
      <c r="AB58" s="408"/>
      <c r="AC58" s="408"/>
      <c r="AD58" s="408"/>
      <c r="AE58" s="408"/>
      <c r="AF58" s="408"/>
      <c r="AG58" s="408"/>
      <c r="AH58" s="408"/>
      <c r="AI58" s="408"/>
      <c r="AJ58" s="408"/>
      <c r="AK58" s="408"/>
      <c r="AL58" s="408"/>
      <c r="AM58" s="408"/>
      <c r="AN58" s="408"/>
      <c r="AO58" s="408"/>
      <c r="AP58" s="408"/>
      <c r="AQ58" s="408"/>
      <c r="AR58" s="408"/>
      <c r="AS58" s="408"/>
      <c r="AT58" s="408"/>
      <c r="AU58" s="408"/>
      <c r="AV58" s="408"/>
      <c r="AW58" s="408"/>
      <c r="AX58" s="408"/>
      <c r="AY58" s="408"/>
      <c r="AZ58" s="408"/>
      <c r="BA58" s="408"/>
      <c r="BB58" s="408"/>
      <c r="BC58" s="408"/>
      <c r="BD58" s="408"/>
      <c r="BE58" s="408"/>
      <c r="BF58" s="408"/>
      <c r="BG58" s="408"/>
      <c r="BH58" s="408"/>
      <c r="BI58" s="408"/>
      <c r="BJ58" s="408"/>
    </row>
    <row r="59" spans="1:62" x14ac:dyDescent="0.25">
      <c r="A59" s="396">
        <f>A56+1</f>
        <v>17</v>
      </c>
      <c r="B59" s="397" t="s">
        <v>571</v>
      </c>
      <c r="C59" s="396">
        <f t="shared" ref="C59:I59" si="16">SUM(C60:C61)</f>
        <v>10391687</v>
      </c>
      <c r="D59" s="396">
        <f t="shared" si="16"/>
        <v>1362100</v>
      </c>
      <c r="E59" s="396">
        <f t="shared" si="16"/>
        <v>9029587</v>
      </c>
      <c r="F59" s="396">
        <f t="shared" si="16"/>
        <v>0</v>
      </c>
      <c r="G59" s="396">
        <f t="shared" si="16"/>
        <v>0</v>
      </c>
      <c r="H59" s="396">
        <f t="shared" si="16"/>
        <v>1362100</v>
      </c>
      <c r="I59" s="396">
        <f t="shared" si="16"/>
        <v>9029587</v>
      </c>
    </row>
    <row r="60" spans="1:62" s="404" customFormat="1" ht="15" customHeight="1" x14ac:dyDescent="0.2">
      <c r="A60" s="399">
        <f>A59+0.1</f>
        <v>17.100000000000001</v>
      </c>
      <c r="B60" s="400" t="s">
        <v>17</v>
      </c>
      <c r="C60" s="401">
        <f>'[11]7.3.3.'!I450</f>
        <v>1362100</v>
      </c>
      <c r="D60" s="401">
        <f>'[11]7.3.3.'!J450</f>
        <v>1362100</v>
      </c>
      <c r="E60" s="401">
        <f>'[11]7.3.3.'!K450</f>
        <v>0</v>
      </c>
      <c r="F60" s="401">
        <f>'[11]7.3.3.'!L450</f>
        <v>0</v>
      </c>
      <c r="G60" s="401">
        <f>'[11]7.3.3.'!M450</f>
        <v>0</v>
      </c>
      <c r="H60" s="401">
        <f>'[11]7.3.3.'!N450</f>
        <v>1362100</v>
      </c>
      <c r="I60" s="401">
        <f>'[11]7.3.3.'!O450</f>
        <v>0</v>
      </c>
      <c r="J60" s="403"/>
      <c r="K60" s="403"/>
      <c r="L60" s="403"/>
      <c r="M60" s="403"/>
      <c r="N60" s="403"/>
      <c r="O60" s="403"/>
      <c r="P60" s="403"/>
      <c r="Q60" s="403"/>
      <c r="R60" s="403"/>
      <c r="S60" s="403"/>
      <c r="T60" s="403"/>
      <c r="U60" s="403"/>
      <c r="V60" s="403"/>
      <c r="W60" s="403"/>
      <c r="X60" s="403"/>
      <c r="Y60" s="403"/>
      <c r="Z60" s="403"/>
      <c r="AA60" s="403"/>
      <c r="AB60" s="403"/>
      <c r="AC60" s="403"/>
      <c r="AD60" s="403"/>
      <c r="AE60" s="403"/>
      <c r="AF60" s="403"/>
      <c r="AG60" s="403"/>
      <c r="AH60" s="403"/>
      <c r="AI60" s="403"/>
      <c r="AJ60" s="403"/>
      <c r="AK60" s="403"/>
      <c r="AL60" s="403"/>
      <c r="AM60" s="403"/>
      <c r="AN60" s="403"/>
      <c r="AO60" s="403"/>
      <c r="AP60" s="403"/>
      <c r="AQ60" s="403"/>
      <c r="AR60" s="403"/>
      <c r="AS60" s="403"/>
      <c r="AT60" s="403"/>
      <c r="AU60" s="403"/>
      <c r="AV60" s="403"/>
      <c r="AW60" s="403"/>
      <c r="AX60" s="403"/>
      <c r="AY60" s="403"/>
      <c r="AZ60" s="403"/>
      <c r="BA60" s="403"/>
      <c r="BB60" s="403"/>
      <c r="BC60" s="403"/>
      <c r="BD60" s="403"/>
      <c r="BE60" s="403"/>
      <c r="BF60" s="403"/>
      <c r="BG60" s="403"/>
      <c r="BH60" s="403"/>
      <c r="BI60" s="403"/>
      <c r="BJ60" s="403"/>
    </row>
    <row r="61" spans="1:62" s="409" customFormat="1" ht="15" customHeight="1" x14ac:dyDescent="0.2">
      <c r="A61" s="405">
        <f>A60+0.1</f>
        <v>17.200000000000003</v>
      </c>
      <c r="B61" s="406" t="s">
        <v>19</v>
      </c>
      <c r="C61" s="401">
        <f>'[11]7.3.3.'!I461</f>
        <v>9029587</v>
      </c>
      <c r="D61" s="401">
        <f>'[11]7.3.3.'!J461</f>
        <v>0</v>
      </c>
      <c r="E61" s="401">
        <f>'[11]7.3.3.'!K461</f>
        <v>9029587</v>
      </c>
      <c r="F61" s="401">
        <f>'[11]7.3.3.'!L461</f>
        <v>0</v>
      </c>
      <c r="G61" s="401">
        <f>'[11]7.3.3.'!M461</f>
        <v>0</v>
      </c>
      <c r="H61" s="401">
        <f>'[11]7.3.3.'!N461</f>
        <v>0</v>
      </c>
      <c r="I61" s="401">
        <f>'[11]7.3.3.'!O461</f>
        <v>9029587</v>
      </c>
      <c r="J61" s="408"/>
      <c r="K61" s="408"/>
      <c r="L61" s="408"/>
      <c r="M61" s="408"/>
      <c r="N61" s="408"/>
      <c r="O61" s="408"/>
      <c r="P61" s="408"/>
      <c r="Q61" s="408"/>
      <c r="R61" s="408"/>
      <c r="S61" s="408"/>
      <c r="T61" s="408"/>
      <c r="U61" s="408"/>
      <c r="V61" s="408"/>
      <c r="W61" s="408"/>
      <c r="X61" s="408"/>
      <c r="Y61" s="408"/>
      <c r="Z61" s="408"/>
      <c r="AA61" s="408"/>
      <c r="AB61" s="408"/>
      <c r="AC61" s="408"/>
      <c r="AD61" s="408"/>
      <c r="AE61" s="408"/>
      <c r="AF61" s="408"/>
      <c r="AG61" s="408"/>
      <c r="AH61" s="408"/>
      <c r="AI61" s="408"/>
      <c r="AJ61" s="408"/>
      <c r="AK61" s="408"/>
      <c r="AL61" s="408"/>
      <c r="AM61" s="408"/>
      <c r="AN61" s="408"/>
      <c r="AO61" s="408"/>
      <c r="AP61" s="408"/>
      <c r="AQ61" s="408"/>
      <c r="AR61" s="408"/>
      <c r="AS61" s="408"/>
      <c r="AT61" s="408"/>
      <c r="AU61" s="408"/>
      <c r="AV61" s="408"/>
      <c r="AW61" s="408"/>
      <c r="AX61" s="408"/>
      <c r="AY61" s="408"/>
      <c r="AZ61" s="408"/>
      <c r="BA61" s="408"/>
      <c r="BB61" s="408"/>
      <c r="BC61" s="408"/>
      <c r="BD61" s="408"/>
      <c r="BE61" s="408"/>
      <c r="BF61" s="408"/>
      <c r="BG61" s="408"/>
      <c r="BH61" s="408"/>
      <c r="BI61" s="408"/>
      <c r="BJ61" s="408"/>
    </row>
    <row r="62" spans="1:62" x14ac:dyDescent="0.25">
      <c r="A62" s="396">
        <f>A59+1</f>
        <v>18</v>
      </c>
      <c r="B62" s="397" t="s">
        <v>572</v>
      </c>
      <c r="C62" s="396">
        <f t="shared" ref="C62:I62" si="17">SUM(C63:C64)</f>
        <v>8282771</v>
      </c>
      <c r="D62" s="396">
        <f t="shared" si="17"/>
        <v>5581786</v>
      </c>
      <c r="E62" s="396">
        <f t="shared" si="17"/>
        <v>2700985</v>
      </c>
      <c r="F62" s="396">
        <f t="shared" si="17"/>
        <v>0</v>
      </c>
      <c r="G62" s="396">
        <f t="shared" si="17"/>
        <v>0</v>
      </c>
      <c r="H62" s="396">
        <f t="shared" si="17"/>
        <v>1206128</v>
      </c>
      <c r="I62" s="396">
        <f t="shared" si="17"/>
        <v>7076643</v>
      </c>
    </row>
    <row r="63" spans="1:62" s="404" customFormat="1" ht="15" customHeight="1" x14ac:dyDescent="0.2">
      <c r="A63" s="399">
        <f>A62+0.1</f>
        <v>18.100000000000001</v>
      </c>
      <c r="B63" s="400" t="s">
        <v>17</v>
      </c>
      <c r="C63" s="401">
        <f>'[11]7.3.3.'!I486</f>
        <v>1477342</v>
      </c>
      <c r="D63" s="401">
        <f>'[11]7.3.3.'!J486</f>
        <v>0</v>
      </c>
      <c r="E63" s="401">
        <f>'[11]7.3.3.'!K486</f>
        <v>1477342</v>
      </c>
      <c r="F63" s="401">
        <f>'[11]7.3.3.'!L486</f>
        <v>0</v>
      </c>
      <c r="G63" s="401">
        <f>'[11]7.3.3.'!M486</f>
        <v>0</v>
      </c>
      <c r="H63" s="401">
        <f>'[11]7.3.3.'!N486</f>
        <v>0</v>
      </c>
      <c r="I63" s="401">
        <f>'[11]7.3.3.'!O486</f>
        <v>1477342</v>
      </c>
      <c r="J63" s="403"/>
      <c r="K63" s="403"/>
      <c r="L63" s="403"/>
      <c r="M63" s="403"/>
      <c r="N63" s="403"/>
      <c r="O63" s="403"/>
      <c r="P63" s="403"/>
      <c r="Q63" s="403"/>
      <c r="R63" s="403"/>
      <c r="S63" s="403"/>
      <c r="T63" s="403"/>
      <c r="U63" s="403"/>
      <c r="V63" s="403"/>
      <c r="W63" s="403"/>
      <c r="X63" s="403"/>
      <c r="Y63" s="403"/>
      <c r="Z63" s="403"/>
      <c r="AA63" s="403"/>
      <c r="AB63" s="403"/>
      <c r="AC63" s="403"/>
      <c r="AD63" s="403"/>
      <c r="AE63" s="403"/>
      <c r="AF63" s="403"/>
      <c r="AG63" s="403"/>
      <c r="AH63" s="403"/>
      <c r="AI63" s="403"/>
      <c r="AJ63" s="403"/>
      <c r="AK63" s="403"/>
      <c r="AL63" s="403"/>
      <c r="AM63" s="403"/>
      <c r="AN63" s="403"/>
      <c r="AO63" s="403"/>
      <c r="AP63" s="403"/>
      <c r="AQ63" s="403"/>
      <c r="AR63" s="403"/>
      <c r="AS63" s="403"/>
      <c r="AT63" s="403"/>
      <c r="AU63" s="403"/>
      <c r="AV63" s="403"/>
      <c r="AW63" s="403"/>
      <c r="AX63" s="403"/>
      <c r="AY63" s="403"/>
      <c r="AZ63" s="403"/>
      <c r="BA63" s="403"/>
      <c r="BB63" s="403"/>
      <c r="BC63" s="403"/>
      <c r="BD63" s="403"/>
      <c r="BE63" s="403"/>
      <c r="BF63" s="403"/>
      <c r="BG63" s="403"/>
      <c r="BH63" s="403"/>
      <c r="BI63" s="403"/>
      <c r="BJ63" s="403"/>
    </row>
    <row r="64" spans="1:62" s="409" customFormat="1" ht="15" customHeight="1" x14ac:dyDescent="0.2">
      <c r="A64" s="405">
        <f>A63+0.1</f>
        <v>18.200000000000003</v>
      </c>
      <c r="B64" s="406" t="s">
        <v>19</v>
      </c>
      <c r="C64" s="401">
        <f>'[11]7.3.3.'!I493</f>
        <v>6805429</v>
      </c>
      <c r="D64" s="401">
        <f>'[11]7.3.3.'!J493</f>
        <v>5581786</v>
      </c>
      <c r="E64" s="401">
        <f>'[11]7.3.3.'!K493</f>
        <v>1223643</v>
      </c>
      <c r="F64" s="401">
        <f>'[11]7.3.3.'!L493</f>
        <v>0</v>
      </c>
      <c r="G64" s="401">
        <f>'[11]7.3.3.'!M493</f>
        <v>0</v>
      </c>
      <c r="H64" s="401">
        <f>'[11]7.3.3.'!N493</f>
        <v>1206128</v>
      </c>
      <c r="I64" s="401">
        <f>'[11]7.3.3.'!O493</f>
        <v>5599301</v>
      </c>
      <c r="J64" s="408"/>
      <c r="K64" s="408"/>
      <c r="L64" s="408"/>
      <c r="M64" s="408"/>
      <c r="N64" s="408"/>
      <c r="O64" s="408"/>
      <c r="P64" s="408"/>
      <c r="Q64" s="408"/>
      <c r="R64" s="408"/>
      <c r="S64" s="408"/>
      <c r="T64" s="408"/>
      <c r="U64" s="408"/>
      <c r="V64" s="408"/>
      <c r="W64" s="408"/>
      <c r="X64" s="408"/>
      <c r="Y64" s="408"/>
      <c r="Z64" s="408"/>
      <c r="AA64" s="408"/>
      <c r="AB64" s="408"/>
      <c r="AC64" s="408"/>
      <c r="AD64" s="408"/>
      <c r="AE64" s="408"/>
      <c r="AF64" s="408"/>
      <c r="AG64" s="408"/>
      <c r="AH64" s="408"/>
      <c r="AI64" s="408"/>
      <c r="AJ64" s="408"/>
      <c r="AK64" s="408"/>
      <c r="AL64" s="408"/>
      <c r="AM64" s="408"/>
      <c r="AN64" s="408"/>
      <c r="AO64" s="408"/>
      <c r="AP64" s="408"/>
      <c r="AQ64" s="408"/>
      <c r="AR64" s="408"/>
      <c r="AS64" s="408"/>
      <c r="AT64" s="408"/>
      <c r="AU64" s="408"/>
      <c r="AV64" s="408"/>
      <c r="AW64" s="408"/>
      <c r="AX64" s="408"/>
      <c r="AY64" s="408"/>
      <c r="AZ64" s="408"/>
      <c r="BA64" s="408"/>
      <c r="BB64" s="408"/>
      <c r="BC64" s="408"/>
      <c r="BD64" s="408"/>
      <c r="BE64" s="408"/>
      <c r="BF64" s="408"/>
      <c r="BG64" s="408"/>
      <c r="BH64" s="408"/>
      <c r="BI64" s="408"/>
      <c r="BJ64" s="408"/>
    </row>
    <row r="65" spans="1:62" x14ac:dyDescent="0.25">
      <c r="A65" s="396">
        <f>A62+1</f>
        <v>19</v>
      </c>
      <c r="B65" s="397" t="s">
        <v>573</v>
      </c>
      <c r="C65" s="396">
        <f t="shared" ref="C65:I65" si="18">SUM(C66:C67)</f>
        <v>5151915</v>
      </c>
      <c r="D65" s="396">
        <f t="shared" si="18"/>
        <v>1224700</v>
      </c>
      <c r="E65" s="396">
        <f t="shared" si="18"/>
        <v>3927215</v>
      </c>
      <c r="F65" s="396">
        <f t="shared" si="18"/>
        <v>0</v>
      </c>
      <c r="G65" s="396">
        <f t="shared" si="18"/>
        <v>0</v>
      </c>
      <c r="H65" s="396">
        <f t="shared" si="18"/>
        <v>1224700</v>
      </c>
      <c r="I65" s="396">
        <f t="shared" si="18"/>
        <v>3927215</v>
      </c>
    </row>
    <row r="66" spans="1:62" s="404" customFormat="1" ht="15" customHeight="1" x14ac:dyDescent="0.2">
      <c r="A66" s="399">
        <f>A65+0.1</f>
        <v>19.100000000000001</v>
      </c>
      <c r="B66" s="400" t="s">
        <v>17</v>
      </c>
      <c r="C66" s="401">
        <f>'[11]7.3.3.'!I515</f>
        <v>1224700</v>
      </c>
      <c r="D66" s="401">
        <f>'[11]7.3.3.'!J515</f>
        <v>1224700</v>
      </c>
      <c r="E66" s="401">
        <f>'[11]7.3.3.'!K515</f>
        <v>0</v>
      </c>
      <c r="F66" s="401">
        <f>'[11]7.3.3.'!L515</f>
        <v>0</v>
      </c>
      <c r="G66" s="401">
        <f>'[11]7.3.3.'!M515</f>
        <v>0</v>
      </c>
      <c r="H66" s="401">
        <f>'[11]7.3.3.'!N515</f>
        <v>1224700</v>
      </c>
      <c r="I66" s="401">
        <f>'[11]7.3.3.'!O515</f>
        <v>0</v>
      </c>
      <c r="J66" s="403"/>
      <c r="K66" s="403"/>
      <c r="L66" s="403"/>
      <c r="M66" s="403"/>
      <c r="N66" s="403"/>
      <c r="O66" s="403"/>
      <c r="P66" s="403"/>
      <c r="Q66" s="403"/>
      <c r="R66" s="403"/>
      <c r="S66" s="403"/>
      <c r="T66" s="403"/>
      <c r="U66" s="403"/>
      <c r="V66" s="403"/>
      <c r="W66" s="403"/>
      <c r="X66" s="403"/>
      <c r="Y66" s="403"/>
      <c r="Z66" s="403"/>
      <c r="AA66" s="403"/>
      <c r="AB66" s="403"/>
      <c r="AC66" s="403"/>
      <c r="AD66" s="403"/>
      <c r="AE66" s="403"/>
      <c r="AF66" s="403"/>
      <c r="AG66" s="403"/>
      <c r="AH66" s="403"/>
      <c r="AI66" s="403"/>
      <c r="AJ66" s="403"/>
      <c r="AK66" s="403"/>
      <c r="AL66" s="403"/>
      <c r="AM66" s="403"/>
      <c r="AN66" s="403"/>
      <c r="AO66" s="403"/>
      <c r="AP66" s="403"/>
      <c r="AQ66" s="403"/>
      <c r="AR66" s="403"/>
      <c r="AS66" s="403"/>
      <c r="AT66" s="403"/>
      <c r="AU66" s="403"/>
      <c r="AV66" s="403"/>
      <c r="AW66" s="403"/>
      <c r="AX66" s="403"/>
      <c r="AY66" s="403"/>
      <c r="AZ66" s="403"/>
      <c r="BA66" s="403"/>
      <c r="BB66" s="403"/>
      <c r="BC66" s="403"/>
      <c r="BD66" s="403"/>
      <c r="BE66" s="403"/>
      <c r="BF66" s="403"/>
      <c r="BG66" s="403"/>
      <c r="BH66" s="403"/>
      <c r="BI66" s="403"/>
      <c r="BJ66" s="403"/>
    </row>
    <row r="67" spans="1:62" s="409" customFormat="1" ht="15" customHeight="1" x14ac:dyDescent="0.2">
      <c r="A67" s="405">
        <f>A66+0.1</f>
        <v>19.200000000000003</v>
      </c>
      <c r="B67" s="406" t="s">
        <v>19</v>
      </c>
      <c r="C67" s="401">
        <f>'[11]7.3.3.'!I521</f>
        <v>3927215</v>
      </c>
      <c r="D67" s="401">
        <f>'[11]7.3.3.'!J521</f>
        <v>0</v>
      </c>
      <c r="E67" s="401">
        <f>'[11]7.3.3.'!K521</f>
        <v>3927215</v>
      </c>
      <c r="F67" s="401">
        <f>'[11]7.3.3.'!L521</f>
        <v>0</v>
      </c>
      <c r="G67" s="401">
        <f>'[11]7.3.3.'!M521</f>
        <v>0</v>
      </c>
      <c r="H67" s="401">
        <f>'[11]7.3.3.'!N521</f>
        <v>0</v>
      </c>
      <c r="I67" s="401">
        <f>'[11]7.3.3.'!O521</f>
        <v>3927215</v>
      </c>
      <c r="J67" s="408"/>
      <c r="K67" s="408"/>
      <c r="L67" s="408"/>
      <c r="M67" s="408"/>
      <c r="N67" s="408"/>
      <c r="O67" s="408"/>
      <c r="P67" s="408"/>
      <c r="Q67" s="408"/>
      <c r="R67" s="408"/>
      <c r="S67" s="408"/>
      <c r="T67" s="408"/>
      <c r="U67" s="408"/>
      <c r="V67" s="408"/>
      <c r="W67" s="408"/>
      <c r="X67" s="408"/>
      <c r="Y67" s="408"/>
      <c r="Z67" s="408"/>
      <c r="AA67" s="408"/>
      <c r="AB67" s="408"/>
      <c r="AC67" s="408"/>
      <c r="AD67" s="408"/>
      <c r="AE67" s="408"/>
      <c r="AF67" s="408"/>
      <c r="AG67" s="408"/>
      <c r="AH67" s="408"/>
      <c r="AI67" s="408"/>
      <c r="AJ67" s="408"/>
      <c r="AK67" s="408"/>
      <c r="AL67" s="408"/>
      <c r="AM67" s="408"/>
      <c r="AN67" s="408"/>
      <c r="AO67" s="408"/>
      <c r="AP67" s="408"/>
      <c r="AQ67" s="408"/>
      <c r="AR67" s="408"/>
      <c r="AS67" s="408"/>
      <c r="AT67" s="408"/>
      <c r="AU67" s="408"/>
      <c r="AV67" s="408"/>
      <c r="AW67" s="408"/>
      <c r="AX67" s="408"/>
      <c r="AY67" s="408"/>
      <c r="AZ67" s="408"/>
      <c r="BA67" s="408"/>
      <c r="BB67" s="408"/>
      <c r="BC67" s="408"/>
      <c r="BD67" s="408"/>
      <c r="BE67" s="408"/>
      <c r="BF67" s="408"/>
      <c r="BG67" s="408"/>
      <c r="BH67" s="408"/>
      <c r="BI67" s="408"/>
      <c r="BJ67" s="408"/>
    </row>
    <row r="68" spans="1:62" x14ac:dyDescent="0.25">
      <c r="A68" s="396">
        <f>A65+1</f>
        <v>20</v>
      </c>
      <c r="B68" s="397" t="s">
        <v>574</v>
      </c>
      <c r="C68" s="396">
        <f t="shared" ref="C68:I68" si="19">SUM(C69:C70)</f>
        <v>19187213</v>
      </c>
      <c r="D68" s="396">
        <f t="shared" si="19"/>
        <v>16673313</v>
      </c>
      <c r="E68" s="396">
        <f t="shared" si="19"/>
        <v>2513900</v>
      </c>
      <c r="F68" s="396">
        <f t="shared" si="19"/>
        <v>0</v>
      </c>
      <c r="G68" s="396">
        <f t="shared" si="19"/>
        <v>0</v>
      </c>
      <c r="H68" s="396">
        <f t="shared" si="19"/>
        <v>16673313</v>
      </c>
      <c r="I68" s="396">
        <f t="shared" si="19"/>
        <v>2513900</v>
      </c>
    </row>
    <row r="69" spans="1:62" s="404" customFormat="1" ht="15" customHeight="1" x14ac:dyDescent="0.2">
      <c r="A69" s="399">
        <f>A68+0.1</f>
        <v>20.100000000000001</v>
      </c>
      <c r="B69" s="400" t="s">
        <v>17</v>
      </c>
      <c r="C69" s="401">
        <f>'[11]7.3.3.'!I537</f>
        <v>16673313</v>
      </c>
      <c r="D69" s="401">
        <f>'[11]7.3.3.'!J537</f>
        <v>16673313</v>
      </c>
      <c r="E69" s="401">
        <f>'[11]7.3.3.'!K537</f>
        <v>0</v>
      </c>
      <c r="F69" s="401">
        <f>'[11]7.3.3.'!L537</f>
        <v>0</v>
      </c>
      <c r="G69" s="401">
        <f>'[11]7.3.3.'!M537</f>
        <v>0</v>
      </c>
      <c r="H69" s="401">
        <f>'[11]7.3.3.'!N537</f>
        <v>16673313</v>
      </c>
      <c r="I69" s="401">
        <f>'[11]7.3.3.'!O537</f>
        <v>0</v>
      </c>
      <c r="J69" s="403"/>
      <c r="K69" s="403"/>
      <c r="L69" s="403"/>
      <c r="M69" s="403"/>
      <c r="N69" s="403"/>
      <c r="O69" s="403"/>
      <c r="P69" s="403"/>
      <c r="Q69" s="403"/>
      <c r="R69" s="403"/>
      <c r="S69" s="403"/>
      <c r="T69" s="403"/>
      <c r="U69" s="403"/>
      <c r="V69" s="403"/>
      <c r="W69" s="403"/>
      <c r="X69" s="403"/>
      <c r="Y69" s="403"/>
      <c r="Z69" s="403"/>
      <c r="AA69" s="403"/>
      <c r="AB69" s="403"/>
      <c r="AC69" s="403"/>
      <c r="AD69" s="403"/>
      <c r="AE69" s="403"/>
      <c r="AF69" s="403"/>
      <c r="AG69" s="403"/>
      <c r="AH69" s="403"/>
      <c r="AI69" s="403"/>
      <c r="AJ69" s="403"/>
      <c r="AK69" s="403"/>
      <c r="AL69" s="403"/>
      <c r="AM69" s="403"/>
      <c r="AN69" s="403"/>
      <c r="AO69" s="403"/>
      <c r="AP69" s="403"/>
      <c r="AQ69" s="403"/>
      <c r="AR69" s="403"/>
      <c r="AS69" s="403"/>
      <c r="AT69" s="403"/>
      <c r="AU69" s="403"/>
      <c r="AV69" s="403"/>
      <c r="AW69" s="403"/>
      <c r="AX69" s="403"/>
      <c r="AY69" s="403"/>
      <c r="AZ69" s="403"/>
      <c r="BA69" s="403"/>
      <c r="BB69" s="403"/>
      <c r="BC69" s="403"/>
      <c r="BD69" s="403"/>
      <c r="BE69" s="403"/>
      <c r="BF69" s="403"/>
      <c r="BG69" s="403"/>
      <c r="BH69" s="403"/>
      <c r="BI69" s="403"/>
      <c r="BJ69" s="403"/>
    </row>
    <row r="70" spans="1:62" s="409" customFormat="1" ht="15" customHeight="1" x14ac:dyDescent="0.2">
      <c r="A70" s="405">
        <f>A69+0.1</f>
        <v>20.200000000000003</v>
      </c>
      <c r="B70" s="406" t="s">
        <v>19</v>
      </c>
      <c r="C70" s="401">
        <f>'[11]7.3.3.'!I545</f>
        <v>2513900</v>
      </c>
      <c r="D70" s="401">
        <f>'[11]7.3.3.'!J545</f>
        <v>0</v>
      </c>
      <c r="E70" s="401">
        <f>'[11]7.3.3.'!K545</f>
        <v>2513900</v>
      </c>
      <c r="F70" s="401">
        <f>'[11]7.3.3.'!L545</f>
        <v>0</v>
      </c>
      <c r="G70" s="401">
        <f>'[11]7.3.3.'!M545</f>
        <v>0</v>
      </c>
      <c r="H70" s="401">
        <f>'[11]7.3.3.'!N545</f>
        <v>0</v>
      </c>
      <c r="I70" s="401">
        <f>'[11]7.3.3.'!O545</f>
        <v>2513900</v>
      </c>
      <c r="J70" s="408"/>
      <c r="K70" s="408"/>
      <c r="L70" s="408"/>
      <c r="M70" s="408"/>
      <c r="N70" s="408"/>
      <c r="O70" s="408"/>
      <c r="P70" s="408"/>
      <c r="Q70" s="408"/>
      <c r="R70" s="408"/>
      <c r="S70" s="408"/>
      <c r="T70" s="408"/>
      <c r="U70" s="408"/>
      <c r="V70" s="408"/>
      <c r="W70" s="408"/>
      <c r="X70" s="408"/>
      <c r="Y70" s="408"/>
      <c r="Z70" s="408"/>
      <c r="AA70" s="408"/>
      <c r="AB70" s="408"/>
      <c r="AC70" s="408"/>
      <c r="AD70" s="408"/>
      <c r="AE70" s="408"/>
      <c r="AF70" s="408"/>
      <c r="AG70" s="408"/>
      <c r="AH70" s="408"/>
      <c r="AI70" s="408"/>
      <c r="AJ70" s="408"/>
      <c r="AK70" s="408"/>
      <c r="AL70" s="408"/>
      <c r="AM70" s="408"/>
      <c r="AN70" s="408"/>
      <c r="AO70" s="408"/>
      <c r="AP70" s="408"/>
      <c r="AQ70" s="408"/>
      <c r="AR70" s="408"/>
      <c r="AS70" s="408"/>
      <c r="AT70" s="408"/>
      <c r="AU70" s="408"/>
      <c r="AV70" s="408"/>
      <c r="AW70" s="408"/>
      <c r="AX70" s="408"/>
      <c r="AY70" s="408"/>
      <c r="AZ70" s="408"/>
      <c r="BA70" s="408"/>
      <c r="BB70" s="408"/>
      <c r="BC70" s="408"/>
      <c r="BD70" s="408"/>
      <c r="BE70" s="408"/>
      <c r="BF70" s="408"/>
      <c r="BG70" s="408"/>
      <c r="BH70" s="408"/>
      <c r="BI70" s="408"/>
      <c r="BJ70" s="408"/>
    </row>
    <row r="71" spans="1:62" x14ac:dyDescent="0.25">
      <c r="A71" s="396">
        <f>A68+1</f>
        <v>21</v>
      </c>
      <c r="B71" s="397" t="s">
        <v>575</v>
      </c>
      <c r="C71" s="396">
        <f t="shared" ref="C71:I71" si="20">SUM(C72:C73)</f>
        <v>3788387</v>
      </c>
      <c r="D71" s="396">
        <f t="shared" si="20"/>
        <v>1891972</v>
      </c>
      <c r="E71" s="396">
        <f t="shared" si="20"/>
        <v>1896415</v>
      </c>
      <c r="F71" s="396">
        <f t="shared" si="20"/>
        <v>0</v>
      </c>
      <c r="G71" s="396">
        <f t="shared" si="20"/>
        <v>0</v>
      </c>
      <c r="H71" s="396">
        <f t="shared" si="20"/>
        <v>0</v>
      </c>
      <c r="I71" s="396">
        <f t="shared" si="20"/>
        <v>3788387</v>
      </c>
    </row>
    <row r="72" spans="1:62" s="404" customFormat="1" ht="15" customHeight="1" x14ac:dyDescent="0.2">
      <c r="A72" s="399">
        <f>A71+0.1</f>
        <v>21.1</v>
      </c>
      <c r="B72" s="400" t="s">
        <v>17</v>
      </c>
      <c r="C72" s="401">
        <f>'[11]7.3.3.'!I557</f>
        <v>145000</v>
      </c>
      <c r="D72" s="401">
        <f>'[11]7.3.3.'!J557</f>
        <v>0</v>
      </c>
      <c r="E72" s="401">
        <f>'[11]7.3.3.'!K557</f>
        <v>145000</v>
      </c>
      <c r="F72" s="401">
        <f>'[11]7.3.3.'!L557</f>
        <v>0</v>
      </c>
      <c r="G72" s="401">
        <f>'[11]7.3.3.'!M557</f>
        <v>0</v>
      </c>
      <c r="H72" s="401">
        <f>'[11]7.3.3.'!N557</f>
        <v>0</v>
      </c>
      <c r="I72" s="401">
        <f>'[11]7.3.3.'!O557</f>
        <v>145000</v>
      </c>
      <c r="J72" s="403"/>
      <c r="K72" s="403"/>
      <c r="L72" s="403"/>
      <c r="M72" s="403"/>
      <c r="N72" s="403"/>
      <c r="O72" s="403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3"/>
      <c r="AA72" s="403"/>
      <c r="AB72" s="403"/>
      <c r="AC72" s="403"/>
      <c r="AD72" s="403"/>
      <c r="AE72" s="403"/>
      <c r="AF72" s="403"/>
      <c r="AG72" s="403"/>
      <c r="AH72" s="403"/>
      <c r="AI72" s="403"/>
      <c r="AJ72" s="403"/>
      <c r="AK72" s="403"/>
      <c r="AL72" s="403"/>
      <c r="AM72" s="403"/>
      <c r="AN72" s="403"/>
      <c r="AO72" s="403"/>
      <c r="AP72" s="403"/>
      <c r="AQ72" s="403"/>
      <c r="AR72" s="403"/>
      <c r="AS72" s="403"/>
      <c r="AT72" s="403"/>
      <c r="AU72" s="403"/>
      <c r="AV72" s="403"/>
      <c r="AW72" s="403"/>
      <c r="AX72" s="403"/>
      <c r="AY72" s="403"/>
      <c r="AZ72" s="403"/>
      <c r="BA72" s="403"/>
      <c r="BB72" s="403"/>
      <c r="BC72" s="403"/>
      <c r="BD72" s="403"/>
      <c r="BE72" s="403"/>
      <c r="BF72" s="403"/>
      <c r="BG72" s="403"/>
      <c r="BH72" s="403"/>
      <c r="BI72" s="403"/>
      <c r="BJ72" s="403"/>
    </row>
    <row r="73" spans="1:62" s="409" customFormat="1" ht="15" customHeight="1" x14ac:dyDescent="0.2">
      <c r="A73" s="405">
        <f>A72+0.1</f>
        <v>21.200000000000003</v>
      </c>
      <c r="B73" s="406" t="s">
        <v>19</v>
      </c>
      <c r="C73" s="401">
        <f>'[11]7.3.3.'!I559</f>
        <v>3643387</v>
      </c>
      <c r="D73" s="401">
        <f>'[11]7.3.3.'!J559</f>
        <v>1891972</v>
      </c>
      <c r="E73" s="401">
        <f>'[11]7.3.3.'!K559</f>
        <v>1751415</v>
      </c>
      <c r="F73" s="401">
        <f>'[11]7.3.3.'!L559</f>
        <v>0</v>
      </c>
      <c r="G73" s="401">
        <f>'[11]7.3.3.'!M559</f>
        <v>0</v>
      </c>
      <c r="H73" s="401">
        <f>'[11]7.3.3.'!N559</f>
        <v>0</v>
      </c>
      <c r="I73" s="401">
        <f>'[11]7.3.3.'!O559</f>
        <v>3643387</v>
      </c>
      <c r="J73" s="408"/>
      <c r="K73" s="408"/>
      <c r="L73" s="408"/>
      <c r="M73" s="408"/>
      <c r="N73" s="408"/>
      <c r="O73" s="408"/>
      <c r="P73" s="408"/>
      <c r="Q73" s="408"/>
      <c r="R73" s="408"/>
      <c r="S73" s="408"/>
      <c r="T73" s="408"/>
      <c r="U73" s="408"/>
      <c r="V73" s="408"/>
      <c r="W73" s="408"/>
      <c r="X73" s="408"/>
      <c r="Y73" s="408"/>
      <c r="Z73" s="408"/>
      <c r="AA73" s="408"/>
      <c r="AB73" s="408"/>
      <c r="AC73" s="408"/>
      <c r="AD73" s="408"/>
      <c r="AE73" s="408"/>
      <c r="AF73" s="408"/>
      <c r="AG73" s="408"/>
      <c r="AH73" s="408"/>
      <c r="AI73" s="408"/>
      <c r="AJ73" s="408"/>
      <c r="AK73" s="408"/>
      <c r="AL73" s="408"/>
      <c r="AM73" s="408"/>
      <c r="AN73" s="408"/>
      <c r="AO73" s="408"/>
      <c r="AP73" s="408"/>
      <c r="AQ73" s="408"/>
      <c r="AR73" s="408"/>
      <c r="AS73" s="408"/>
      <c r="AT73" s="408"/>
      <c r="AU73" s="408"/>
      <c r="AV73" s="408"/>
      <c r="AW73" s="408"/>
      <c r="AX73" s="408"/>
      <c r="AY73" s="408"/>
      <c r="AZ73" s="408"/>
      <c r="BA73" s="408"/>
      <c r="BB73" s="408"/>
      <c r="BC73" s="408"/>
      <c r="BD73" s="408"/>
      <c r="BE73" s="408"/>
      <c r="BF73" s="408"/>
      <c r="BG73" s="408"/>
      <c r="BH73" s="408"/>
      <c r="BI73" s="408"/>
      <c r="BJ73" s="408"/>
    </row>
    <row r="74" spans="1:62" x14ac:dyDescent="0.25">
      <c r="A74" s="396">
        <f>A71+1</f>
        <v>22</v>
      </c>
      <c r="B74" s="397" t="s">
        <v>576</v>
      </c>
      <c r="C74" s="396">
        <f t="shared" ref="C74:I74" si="21">SUM(C75:C76)</f>
        <v>8913698</v>
      </c>
      <c r="D74" s="396">
        <f t="shared" si="21"/>
        <v>3885633</v>
      </c>
      <c r="E74" s="396">
        <f t="shared" si="21"/>
        <v>5028065</v>
      </c>
      <c r="F74" s="396">
        <f t="shared" si="21"/>
        <v>0</v>
      </c>
      <c r="G74" s="396">
        <f t="shared" si="21"/>
        <v>0</v>
      </c>
      <c r="H74" s="396">
        <f t="shared" si="21"/>
        <v>0</v>
      </c>
      <c r="I74" s="396">
        <f t="shared" si="21"/>
        <v>8913698</v>
      </c>
    </row>
    <row r="75" spans="1:62" s="404" customFormat="1" ht="15" customHeight="1" x14ac:dyDescent="0.2">
      <c r="A75" s="399">
        <f>A74+0.1</f>
        <v>22.1</v>
      </c>
      <c r="B75" s="400" t="s">
        <v>17</v>
      </c>
      <c r="C75" s="401">
        <f>'[11]7.3.3.'!I575</f>
        <v>1747236</v>
      </c>
      <c r="D75" s="401">
        <f>'[11]7.3.3.'!J575</f>
        <v>0</v>
      </c>
      <c r="E75" s="401">
        <f>'[11]7.3.3.'!K575</f>
        <v>1747236</v>
      </c>
      <c r="F75" s="401">
        <f>'[11]7.3.3.'!L575</f>
        <v>0</v>
      </c>
      <c r="G75" s="401">
        <f>'[11]7.3.3.'!M575</f>
        <v>0</v>
      </c>
      <c r="H75" s="401">
        <f>'[11]7.3.3.'!N575</f>
        <v>0</v>
      </c>
      <c r="I75" s="401">
        <f>'[11]7.3.3.'!O575</f>
        <v>1747236</v>
      </c>
      <c r="J75" s="403"/>
      <c r="K75" s="403"/>
      <c r="L75" s="403"/>
      <c r="M75" s="403"/>
      <c r="N75" s="403"/>
      <c r="O75" s="403"/>
      <c r="P75" s="403"/>
      <c r="Q75" s="403"/>
      <c r="R75" s="403"/>
      <c r="S75" s="403"/>
      <c r="T75" s="403"/>
      <c r="U75" s="403"/>
      <c r="V75" s="403"/>
      <c r="W75" s="403"/>
      <c r="X75" s="403"/>
      <c r="Y75" s="403"/>
      <c r="Z75" s="403"/>
      <c r="AA75" s="403"/>
      <c r="AB75" s="403"/>
      <c r="AC75" s="403"/>
      <c r="AD75" s="403"/>
      <c r="AE75" s="403"/>
      <c r="AF75" s="403"/>
      <c r="AG75" s="403"/>
      <c r="AH75" s="403"/>
      <c r="AI75" s="403"/>
      <c r="AJ75" s="403"/>
      <c r="AK75" s="403"/>
      <c r="AL75" s="403"/>
      <c r="AM75" s="403"/>
      <c r="AN75" s="403"/>
      <c r="AO75" s="403"/>
      <c r="AP75" s="403"/>
      <c r="AQ75" s="403"/>
      <c r="AR75" s="403"/>
      <c r="AS75" s="403"/>
      <c r="AT75" s="403"/>
      <c r="AU75" s="403"/>
      <c r="AV75" s="403"/>
      <c r="AW75" s="403"/>
      <c r="AX75" s="403"/>
      <c r="AY75" s="403"/>
      <c r="AZ75" s="403"/>
      <c r="BA75" s="403"/>
      <c r="BB75" s="403"/>
      <c r="BC75" s="403"/>
      <c r="BD75" s="403"/>
      <c r="BE75" s="403"/>
      <c r="BF75" s="403"/>
      <c r="BG75" s="403"/>
      <c r="BH75" s="403"/>
      <c r="BI75" s="403"/>
      <c r="BJ75" s="403"/>
    </row>
    <row r="76" spans="1:62" s="409" customFormat="1" ht="15" customHeight="1" x14ac:dyDescent="0.2">
      <c r="A76" s="405">
        <f>A75+0.1</f>
        <v>22.200000000000003</v>
      </c>
      <c r="B76" s="406" t="s">
        <v>19</v>
      </c>
      <c r="C76" s="401">
        <f>'[11]7.3.3.'!I583</f>
        <v>7166462</v>
      </c>
      <c r="D76" s="401">
        <f>'[11]7.3.3.'!J583</f>
        <v>3885633</v>
      </c>
      <c r="E76" s="401">
        <f>'[11]7.3.3.'!K583</f>
        <v>3280829</v>
      </c>
      <c r="F76" s="401">
        <f>'[11]7.3.3.'!L583</f>
        <v>0</v>
      </c>
      <c r="G76" s="401">
        <f>'[11]7.3.3.'!M583</f>
        <v>0</v>
      </c>
      <c r="H76" s="401">
        <f>'[11]7.3.3.'!N583</f>
        <v>0</v>
      </c>
      <c r="I76" s="401">
        <f>'[11]7.3.3.'!O583</f>
        <v>7166462</v>
      </c>
      <c r="J76" s="408"/>
      <c r="K76" s="408"/>
      <c r="L76" s="408"/>
      <c r="M76" s="408"/>
      <c r="N76" s="408"/>
      <c r="O76" s="408"/>
      <c r="P76" s="408"/>
      <c r="Q76" s="408"/>
      <c r="R76" s="408"/>
      <c r="S76" s="408"/>
      <c r="T76" s="408"/>
      <c r="U76" s="408"/>
      <c r="V76" s="408"/>
      <c r="W76" s="408"/>
      <c r="X76" s="408"/>
      <c r="Y76" s="408"/>
      <c r="Z76" s="408"/>
      <c r="AA76" s="408"/>
      <c r="AB76" s="408"/>
      <c r="AC76" s="408"/>
      <c r="AD76" s="408"/>
      <c r="AE76" s="408"/>
      <c r="AF76" s="408"/>
      <c r="AG76" s="408"/>
      <c r="AH76" s="408"/>
      <c r="AI76" s="408"/>
      <c r="AJ76" s="408"/>
      <c r="AK76" s="408"/>
      <c r="AL76" s="408"/>
      <c r="AM76" s="408"/>
      <c r="AN76" s="408"/>
      <c r="AO76" s="408"/>
      <c r="AP76" s="408"/>
      <c r="AQ76" s="408"/>
      <c r="AR76" s="408"/>
      <c r="AS76" s="408"/>
      <c r="AT76" s="408"/>
      <c r="AU76" s="408"/>
      <c r="AV76" s="408"/>
      <c r="AW76" s="408"/>
      <c r="AX76" s="408"/>
      <c r="AY76" s="408"/>
      <c r="AZ76" s="408"/>
      <c r="BA76" s="408"/>
      <c r="BB76" s="408"/>
      <c r="BC76" s="408"/>
      <c r="BD76" s="408"/>
      <c r="BE76" s="408"/>
      <c r="BF76" s="408"/>
      <c r="BG76" s="408"/>
      <c r="BH76" s="408"/>
      <c r="BI76" s="408"/>
      <c r="BJ76" s="408"/>
    </row>
    <row r="77" spans="1:62" x14ac:dyDescent="0.25">
      <c r="A77" s="396">
        <f>A74+1</f>
        <v>23</v>
      </c>
      <c r="B77" s="397" t="s">
        <v>577</v>
      </c>
      <c r="C77" s="396">
        <f t="shared" ref="C77:I77" si="22">SUM(C78:C79)</f>
        <v>2353269</v>
      </c>
      <c r="D77" s="396">
        <f t="shared" si="22"/>
        <v>2353269</v>
      </c>
      <c r="E77" s="396">
        <f t="shared" si="22"/>
        <v>0</v>
      </c>
      <c r="F77" s="396">
        <f t="shared" si="22"/>
        <v>0</v>
      </c>
      <c r="G77" s="396">
        <f t="shared" si="22"/>
        <v>0</v>
      </c>
      <c r="H77" s="396">
        <f t="shared" si="22"/>
        <v>2353269</v>
      </c>
      <c r="I77" s="396">
        <f t="shared" si="22"/>
        <v>0</v>
      </c>
    </row>
    <row r="78" spans="1:62" s="404" customFormat="1" ht="15" customHeight="1" x14ac:dyDescent="0.2">
      <c r="A78" s="399">
        <f>A77+0.1</f>
        <v>23.1</v>
      </c>
      <c r="B78" s="400" t="s">
        <v>17</v>
      </c>
      <c r="C78" s="401">
        <f>'[11]7.3.3.'!I603</f>
        <v>2353269</v>
      </c>
      <c r="D78" s="401">
        <f>'[11]7.3.3.'!J603</f>
        <v>2353269</v>
      </c>
      <c r="E78" s="401">
        <f>'[11]7.3.3.'!K603</f>
        <v>0</v>
      </c>
      <c r="F78" s="401">
        <f>'[11]7.3.3.'!L603</f>
        <v>0</v>
      </c>
      <c r="G78" s="401">
        <f>'[11]7.3.3.'!M603</f>
        <v>0</v>
      </c>
      <c r="H78" s="401">
        <f>'[11]7.3.3.'!N603</f>
        <v>2353269</v>
      </c>
      <c r="I78" s="401">
        <f>'[11]7.3.3.'!O603</f>
        <v>0</v>
      </c>
      <c r="J78" s="403"/>
      <c r="K78" s="403"/>
      <c r="L78" s="403"/>
      <c r="M78" s="403"/>
      <c r="N78" s="403"/>
      <c r="O78" s="403"/>
      <c r="P78" s="403"/>
      <c r="Q78" s="403"/>
      <c r="R78" s="403"/>
      <c r="S78" s="403"/>
      <c r="T78" s="403"/>
      <c r="U78" s="403"/>
      <c r="V78" s="403"/>
      <c r="W78" s="403"/>
      <c r="X78" s="403"/>
      <c r="Y78" s="403"/>
      <c r="Z78" s="403"/>
      <c r="AA78" s="403"/>
      <c r="AB78" s="403"/>
      <c r="AC78" s="403"/>
      <c r="AD78" s="403"/>
      <c r="AE78" s="403"/>
      <c r="AF78" s="403"/>
      <c r="AG78" s="403"/>
      <c r="AH78" s="403"/>
      <c r="AI78" s="403"/>
      <c r="AJ78" s="403"/>
      <c r="AK78" s="403"/>
      <c r="AL78" s="403"/>
      <c r="AM78" s="403"/>
      <c r="AN78" s="403"/>
      <c r="AO78" s="403"/>
      <c r="AP78" s="403"/>
      <c r="AQ78" s="403"/>
      <c r="AR78" s="403"/>
      <c r="AS78" s="403"/>
      <c r="AT78" s="403"/>
      <c r="AU78" s="403"/>
      <c r="AV78" s="403"/>
      <c r="AW78" s="403"/>
      <c r="AX78" s="403"/>
      <c r="AY78" s="403"/>
      <c r="AZ78" s="403"/>
      <c r="BA78" s="403"/>
      <c r="BB78" s="403"/>
      <c r="BC78" s="403"/>
      <c r="BD78" s="403"/>
      <c r="BE78" s="403"/>
      <c r="BF78" s="403"/>
      <c r="BG78" s="403"/>
      <c r="BH78" s="403"/>
      <c r="BI78" s="403"/>
      <c r="BJ78" s="403"/>
    </row>
    <row r="79" spans="1:62" s="409" customFormat="1" ht="15" customHeight="1" x14ac:dyDescent="0.2">
      <c r="A79" s="405">
        <f>A78+0.1</f>
        <v>23.200000000000003</v>
      </c>
      <c r="B79" s="406" t="s">
        <v>19</v>
      </c>
      <c r="C79" s="401">
        <f>'[11]7.3.3.'!I612</f>
        <v>0</v>
      </c>
      <c r="D79" s="401">
        <f>'[11]7.3.3.'!J612</f>
        <v>0</v>
      </c>
      <c r="E79" s="401">
        <f>'[11]7.3.3.'!K612</f>
        <v>0</v>
      </c>
      <c r="F79" s="401">
        <f>'[11]7.3.3.'!L612</f>
        <v>0</v>
      </c>
      <c r="G79" s="401">
        <f>'[11]7.3.3.'!M612</f>
        <v>0</v>
      </c>
      <c r="H79" s="401">
        <f>'[11]7.3.3.'!N612</f>
        <v>0</v>
      </c>
      <c r="I79" s="401">
        <f>'[11]7.3.3.'!O612</f>
        <v>0</v>
      </c>
      <c r="J79" s="408"/>
      <c r="K79" s="408"/>
      <c r="L79" s="408"/>
      <c r="M79" s="408"/>
      <c r="N79" s="408"/>
      <c r="O79" s="408"/>
      <c r="P79" s="408"/>
      <c r="Q79" s="408"/>
      <c r="R79" s="408"/>
      <c r="S79" s="408"/>
      <c r="T79" s="408"/>
      <c r="U79" s="408"/>
      <c r="V79" s="408"/>
      <c r="W79" s="408"/>
      <c r="X79" s="408"/>
      <c r="Y79" s="408"/>
      <c r="Z79" s="408"/>
      <c r="AA79" s="408"/>
      <c r="AB79" s="408"/>
      <c r="AC79" s="408"/>
      <c r="AD79" s="408"/>
      <c r="AE79" s="408"/>
      <c r="AF79" s="408"/>
      <c r="AG79" s="408"/>
      <c r="AH79" s="408"/>
      <c r="AI79" s="408"/>
      <c r="AJ79" s="408"/>
      <c r="AK79" s="408"/>
      <c r="AL79" s="408"/>
      <c r="AM79" s="408"/>
      <c r="AN79" s="408"/>
      <c r="AO79" s="408"/>
      <c r="AP79" s="408"/>
      <c r="AQ79" s="408"/>
      <c r="AR79" s="408"/>
      <c r="AS79" s="408"/>
      <c r="AT79" s="408"/>
      <c r="AU79" s="408"/>
      <c r="AV79" s="408"/>
      <c r="AW79" s="408"/>
      <c r="AX79" s="408"/>
      <c r="AY79" s="408"/>
      <c r="AZ79" s="408"/>
      <c r="BA79" s="408"/>
      <c r="BB79" s="408"/>
      <c r="BC79" s="408"/>
      <c r="BD79" s="408"/>
      <c r="BE79" s="408"/>
      <c r="BF79" s="408"/>
      <c r="BG79" s="408"/>
      <c r="BH79" s="408"/>
      <c r="BI79" s="408"/>
      <c r="BJ79" s="408"/>
    </row>
    <row r="80" spans="1:62" x14ac:dyDescent="0.25">
      <c r="A80" s="396">
        <f>A77+1</f>
        <v>24</v>
      </c>
      <c r="B80" s="397" t="s">
        <v>578</v>
      </c>
      <c r="C80" s="396">
        <f t="shared" ref="C80:I80" si="23">SUM(C81:C82)</f>
        <v>5466642</v>
      </c>
      <c r="D80" s="396">
        <f t="shared" si="23"/>
        <v>4396470</v>
      </c>
      <c r="E80" s="396">
        <f t="shared" si="23"/>
        <v>1070172</v>
      </c>
      <c r="F80" s="396">
        <f t="shared" si="23"/>
        <v>0</v>
      </c>
      <c r="G80" s="396">
        <f t="shared" si="23"/>
        <v>0</v>
      </c>
      <c r="H80" s="396">
        <f t="shared" si="23"/>
        <v>4396470</v>
      </c>
      <c r="I80" s="396">
        <f t="shared" si="23"/>
        <v>1070172</v>
      </c>
    </row>
    <row r="81" spans="1:62" s="404" customFormat="1" ht="15" customHeight="1" x14ac:dyDescent="0.2">
      <c r="A81" s="399">
        <f>A80+0.1</f>
        <v>24.1</v>
      </c>
      <c r="B81" s="400" t="s">
        <v>17</v>
      </c>
      <c r="C81" s="401">
        <f>'[11]7.3.3.'!I625</f>
        <v>690573</v>
      </c>
      <c r="D81" s="401">
        <f>'[11]7.3.3.'!J625</f>
        <v>690573</v>
      </c>
      <c r="E81" s="401">
        <f>'[11]7.3.3.'!K625</f>
        <v>0</v>
      </c>
      <c r="F81" s="401">
        <f>'[11]7.3.3.'!L625</f>
        <v>0</v>
      </c>
      <c r="G81" s="401">
        <f>'[11]7.3.3.'!M625</f>
        <v>0</v>
      </c>
      <c r="H81" s="401">
        <f>'[11]7.3.3.'!N625</f>
        <v>690573</v>
      </c>
      <c r="I81" s="401">
        <f>'[11]7.3.3.'!O625</f>
        <v>0</v>
      </c>
      <c r="J81" s="403"/>
      <c r="K81" s="403"/>
      <c r="L81" s="403"/>
      <c r="M81" s="403"/>
      <c r="N81" s="403"/>
      <c r="O81" s="403"/>
      <c r="P81" s="403"/>
      <c r="Q81" s="403"/>
      <c r="R81" s="403"/>
      <c r="S81" s="403"/>
      <c r="T81" s="403"/>
      <c r="U81" s="403"/>
      <c r="V81" s="403"/>
      <c r="W81" s="403"/>
      <c r="X81" s="403"/>
      <c r="Y81" s="403"/>
      <c r="Z81" s="403"/>
      <c r="AA81" s="403"/>
      <c r="AB81" s="403"/>
      <c r="AC81" s="403"/>
      <c r="AD81" s="403"/>
      <c r="AE81" s="403"/>
      <c r="AF81" s="403"/>
      <c r="AG81" s="403"/>
      <c r="AH81" s="403"/>
      <c r="AI81" s="403"/>
      <c r="AJ81" s="403"/>
      <c r="AK81" s="403"/>
      <c r="AL81" s="403"/>
      <c r="AM81" s="403"/>
      <c r="AN81" s="403"/>
      <c r="AO81" s="403"/>
      <c r="AP81" s="403"/>
      <c r="AQ81" s="403"/>
      <c r="AR81" s="403"/>
      <c r="AS81" s="403"/>
      <c r="AT81" s="403"/>
      <c r="AU81" s="403"/>
      <c r="AV81" s="403"/>
      <c r="AW81" s="403"/>
      <c r="AX81" s="403"/>
      <c r="AY81" s="403"/>
      <c r="AZ81" s="403"/>
      <c r="BA81" s="403"/>
      <c r="BB81" s="403"/>
      <c r="BC81" s="403"/>
      <c r="BD81" s="403"/>
      <c r="BE81" s="403"/>
      <c r="BF81" s="403"/>
      <c r="BG81" s="403"/>
      <c r="BH81" s="403"/>
      <c r="BI81" s="403"/>
      <c r="BJ81" s="403"/>
    </row>
    <row r="82" spans="1:62" s="409" customFormat="1" ht="15" customHeight="1" x14ac:dyDescent="0.2">
      <c r="A82" s="405">
        <f>A81+0.1</f>
        <v>24.200000000000003</v>
      </c>
      <c r="B82" s="406" t="s">
        <v>19</v>
      </c>
      <c r="C82" s="401">
        <f>'[11]7.3.3.'!I631</f>
        <v>4776069</v>
      </c>
      <c r="D82" s="401">
        <f>'[11]7.3.3.'!J631</f>
        <v>3705897</v>
      </c>
      <c r="E82" s="401">
        <f>'[11]7.3.3.'!K631</f>
        <v>1070172</v>
      </c>
      <c r="F82" s="401">
        <f>'[11]7.3.3.'!L631</f>
        <v>0</v>
      </c>
      <c r="G82" s="401">
        <f>'[11]7.3.3.'!M631</f>
        <v>0</v>
      </c>
      <c r="H82" s="401">
        <f>'[11]7.3.3.'!N631</f>
        <v>3705897</v>
      </c>
      <c r="I82" s="401">
        <f>'[11]7.3.3.'!O631</f>
        <v>1070172</v>
      </c>
      <c r="J82" s="408"/>
      <c r="K82" s="408"/>
      <c r="L82" s="408"/>
      <c r="M82" s="408"/>
      <c r="N82" s="408"/>
      <c r="O82" s="408"/>
      <c r="P82" s="408"/>
      <c r="Q82" s="408"/>
      <c r="R82" s="408"/>
      <c r="S82" s="408"/>
      <c r="T82" s="408"/>
      <c r="U82" s="408"/>
      <c r="V82" s="408"/>
      <c r="W82" s="408"/>
      <c r="X82" s="408"/>
      <c r="Y82" s="408"/>
      <c r="Z82" s="408"/>
      <c r="AA82" s="408"/>
      <c r="AB82" s="408"/>
      <c r="AC82" s="408"/>
      <c r="AD82" s="408"/>
      <c r="AE82" s="408"/>
      <c r="AF82" s="408"/>
      <c r="AG82" s="408"/>
      <c r="AH82" s="408"/>
      <c r="AI82" s="408"/>
      <c r="AJ82" s="408"/>
      <c r="AK82" s="408"/>
      <c r="AL82" s="408"/>
      <c r="AM82" s="408"/>
      <c r="AN82" s="408"/>
      <c r="AO82" s="408"/>
      <c r="AP82" s="408"/>
      <c r="AQ82" s="408"/>
      <c r="AR82" s="408"/>
      <c r="AS82" s="408"/>
      <c r="AT82" s="408"/>
      <c r="AU82" s="408"/>
      <c r="AV82" s="408"/>
      <c r="AW82" s="408"/>
      <c r="AX82" s="408"/>
      <c r="AY82" s="408"/>
      <c r="AZ82" s="408"/>
      <c r="BA82" s="408"/>
      <c r="BB82" s="408"/>
      <c r="BC82" s="408"/>
      <c r="BD82" s="408"/>
      <c r="BE82" s="408"/>
      <c r="BF82" s="408"/>
      <c r="BG82" s="408"/>
      <c r="BH82" s="408"/>
      <c r="BI82" s="408"/>
      <c r="BJ82" s="408"/>
    </row>
    <row r="83" spans="1:62" x14ac:dyDescent="0.25">
      <c r="A83" s="396">
        <f>A80+1</f>
        <v>25</v>
      </c>
      <c r="B83" s="397" t="s">
        <v>579</v>
      </c>
      <c r="C83" s="396">
        <f t="shared" ref="C83:I83" si="24">SUM(C84:C85)</f>
        <v>1420000</v>
      </c>
      <c r="D83" s="396">
        <f t="shared" si="24"/>
        <v>0</v>
      </c>
      <c r="E83" s="396">
        <f t="shared" si="24"/>
        <v>1420000</v>
      </c>
      <c r="F83" s="396">
        <f t="shared" si="24"/>
        <v>0</v>
      </c>
      <c r="G83" s="396">
        <f t="shared" si="24"/>
        <v>0</v>
      </c>
      <c r="H83" s="396">
        <f t="shared" si="24"/>
        <v>0</v>
      </c>
      <c r="I83" s="396">
        <f t="shared" si="24"/>
        <v>1420000</v>
      </c>
    </row>
    <row r="84" spans="1:62" s="404" customFormat="1" ht="15" customHeight="1" x14ac:dyDescent="0.2">
      <c r="A84" s="399">
        <f>A83+0.1</f>
        <v>25.1</v>
      </c>
      <c r="B84" s="400" t="s">
        <v>17</v>
      </c>
      <c r="C84" s="401">
        <f>'[11]7.3.3.'!I648</f>
        <v>0</v>
      </c>
      <c r="D84" s="401">
        <f>'[11]7.3.3.'!J648</f>
        <v>0</v>
      </c>
      <c r="E84" s="401">
        <f>'[11]7.3.3.'!K648</f>
        <v>0</v>
      </c>
      <c r="F84" s="401">
        <f>'[11]7.3.3.'!L648</f>
        <v>0</v>
      </c>
      <c r="G84" s="401">
        <f>'[11]7.3.3.'!M648</f>
        <v>0</v>
      </c>
      <c r="H84" s="401">
        <f>'[11]7.3.3.'!N648</f>
        <v>0</v>
      </c>
      <c r="I84" s="401">
        <f>'[11]7.3.3.'!O648</f>
        <v>0</v>
      </c>
      <c r="J84" s="403"/>
      <c r="K84" s="403"/>
      <c r="L84" s="403"/>
      <c r="M84" s="403"/>
      <c r="N84" s="403"/>
      <c r="O84" s="403"/>
      <c r="P84" s="403"/>
      <c r="Q84" s="403"/>
      <c r="R84" s="403"/>
      <c r="S84" s="403"/>
      <c r="T84" s="403"/>
      <c r="U84" s="403"/>
      <c r="V84" s="403"/>
      <c r="W84" s="403"/>
      <c r="X84" s="403"/>
      <c r="Y84" s="403"/>
      <c r="Z84" s="403"/>
      <c r="AA84" s="403"/>
      <c r="AB84" s="403"/>
      <c r="AC84" s="403"/>
      <c r="AD84" s="403"/>
      <c r="AE84" s="403"/>
      <c r="AF84" s="403"/>
      <c r="AG84" s="403"/>
      <c r="AH84" s="403"/>
      <c r="AI84" s="403"/>
      <c r="AJ84" s="403"/>
      <c r="AK84" s="403"/>
      <c r="AL84" s="403"/>
      <c r="AM84" s="403"/>
      <c r="AN84" s="403"/>
      <c r="AO84" s="403"/>
      <c r="AP84" s="403"/>
      <c r="AQ84" s="403"/>
      <c r="AR84" s="403"/>
      <c r="AS84" s="403"/>
      <c r="AT84" s="403"/>
      <c r="AU84" s="403"/>
      <c r="AV84" s="403"/>
      <c r="AW84" s="403"/>
      <c r="AX84" s="403"/>
      <c r="AY84" s="403"/>
      <c r="AZ84" s="403"/>
      <c r="BA84" s="403"/>
      <c r="BB84" s="403"/>
      <c r="BC84" s="403"/>
      <c r="BD84" s="403"/>
      <c r="BE84" s="403"/>
      <c r="BF84" s="403"/>
      <c r="BG84" s="403"/>
      <c r="BH84" s="403"/>
      <c r="BI84" s="403"/>
      <c r="BJ84" s="403"/>
    </row>
    <row r="85" spans="1:62" s="409" customFormat="1" ht="15" customHeight="1" x14ac:dyDescent="0.2">
      <c r="A85" s="405">
        <f>A84+0.1</f>
        <v>25.200000000000003</v>
      </c>
      <c r="B85" s="406" t="s">
        <v>19</v>
      </c>
      <c r="C85" s="401">
        <f>'[11]7.3.3.'!I650</f>
        <v>1420000</v>
      </c>
      <c r="D85" s="401">
        <f>'[11]7.3.3.'!J650</f>
        <v>0</v>
      </c>
      <c r="E85" s="401">
        <f>'[11]7.3.3.'!K650</f>
        <v>1420000</v>
      </c>
      <c r="F85" s="401">
        <f>'[11]7.3.3.'!L650</f>
        <v>0</v>
      </c>
      <c r="G85" s="401">
        <f>'[11]7.3.3.'!M650</f>
        <v>0</v>
      </c>
      <c r="H85" s="401">
        <f>'[11]7.3.3.'!N650</f>
        <v>0</v>
      </c>
      <c r="I85" s="401">
        <f>'[11]7.3.3.'!O650</f>
        <v>1420000</v>
      </c>
      <c r="J85" s="408"/>
      <c r="K85" s="408"/>
      <c r="L85" s="408"/>
      <c r="M85" s="408"/>
      <c r="N85" s="408"/>
      <c r="O85" s="408"/>
      <c r="P85" s="408"/>
      <c r="Q85" s="408"/>
      <c r="R85" s="408"/>
      <c r="S85" s="408"/>
      <c r="T85" s="408"/>
      <c r="U85" s="408"/>
      <c r="V85" s="408"/>
      <c r="W85" s="408"/>
      <c r="X85" s="408"/>
      <c r="Y85" s="408"/>
      <c r="Z85" s="408"/>
      <c r="AA85" s="408"/>
      <c r="AB85" s="408"/>
      <c r="AC85" s="408"/>
      <c r="AD85" s="408"/>
      <c r="AE85" s="408"/>
      <c r="AF85" s="408"/>
      <c r="AG85" s="408"/>
      <c r="AH85" s="408"/>
      <c r="AI85" s="408"/>
      <c r="AJ85" s="408"/>
      <c r="AK85" s="408"/>
      <c r="AL85" s="408"/>
      <c r="AM85" s="408"/>
      <c r="AN85" s="408"/>
      <c r="AO85" s="408"/>
      <c r="AP85" s="408"/>
      <c r="AQ85" s="408"/>
      <c r="AR85" s="408"/>
      <c r="AS85" s="408"/>
      <c r="AT85" s="408"/>
      <c r="AU85" s="408"/>
      <c r="AV85" s="408"/>
      <c r="AW85" s="408"/>
      <c r="AX85" s="408"/>
      <c r="AY85" s="408"/>
      <c r="AZ85" s="408"/>
      <c r="BA85" s="408"/>
      <c r="BB85" s="408"/>
      <c r="BC85" s="408"/>
      <c r="BD85" s="408"/>
      <c r="BE85" s="408"/>
      <c r="BF85" s="408"/>
      <c r="BG85" s="408"/>
      <c r="BH85" s="408"/>
      <c r="BI85" s="408"/>
      <c r="BJ85" s="408"/>
    </row>
    <row r="86" spans="1:62" x14ac:dyDescent="0.25">
      <c r="A86" s="396">
        <f>A83+1</f>
        <v>26</v>
      </c>
      <c r="B86" s="397" t="s">
        <v>580</v>
      </c>
      <c r="C86" s="396">
        <f t="shared" ref="C86:I86" si="25">SUM(C87:C88)</f>
        <v>3407614.5</v>
      </c>
      <c r="D86" s="396">
        <f t="shared" si="25"/>
        <v>0</v>
      </c>
      <c r="E86" s="396">
        <f t="shared" si="25"/>
        <v>3407614.5</v>
      </c>
      <c r="F86" s="396">
        <f t="shared" si="25"/>
        <v>0</v>
      </c>
      <c r="G86" s="396">
        <f t="shared" si="25"/>
        <v>0</v>
      </c>
      <c r="H86" s="396">
        <f t="shared" si="25"/>
        <v>0</v>
      </c>
      <c r="I86" s="396">
        <f t="shared" si="25"/>
        <v>3407614.5</v>
      </c>
    </row>
    <row r="87" spans="1:62" s="404" customFormat="1" ht="15" customHeight="1" x14ac:dyDescent="0.2">
      <c r="A87" s="399">
        <f>A86+0.1</f>
        <v>26.1</v>
      </c>
      <c r="B87" s="400" t="s">
        <v>17</v>
      </c>
      <c r="C87" s="401">
        <f>'[11]7.3.3.'!I660</f>
        <v>1231599.5</v>
      </c>
      <c r="D87" s="401">
        <f>'[11]7.3.3.'!J660</f>
        <v>0</v>
      </c>
      <c r="E87" s="401">
        <f>'[11]7.3.3.'!K660</f>
        <v>1231599.5</v>
      </c>
      <c r="F87" s="401">
        <f>'[11]7.3.3.'!L660</f>
        <v>0</v>
      </c>
      <c r="G87" s="401">
        <f>'[11]7.3.3.'!M660</f>
        <v>0</v>
      </c>
      <c r="H87" s="401">
        <f>'[11]7.3.3.'!N660</f>
        <v>0</v>
      </c>
      <c r="I87" s="401">
        <f>'[11]7.3.3.'!O660</f>
        <v>1231599.5</v>
      </c>
      <c r="J87" s="403"/>
      <c r="K87" s="403"/>
      <c r="L87" s="403"/>
      <c r="M87" s="403"/>
      <c r="N87" s="403"/>
      <c r="O87" s="403"/>
      <c r="P87" s="403"/>
      <c r="Q87" s="403"/>
      <c r="R87" s="403"/>
      <c r="S87" s="403"/>
      <c r="T87" s="403"/>
      <c r="U87" s="403"/>
      <c r="V87" s="403"/>
      <c r="W87" s="403"/>
      <c r="X87" s="403"/>
      <c r="Y87" s="403"/>
      <c r="Z87" s="403"/>
      <c r="AA87" s="403"/>
      <c r="AB87" s="403"/>
      <c r="AC87" s="403"/>
      <c r="AD87" s="403"/>
      <c r="AE87" s="403"/>
      <c r="AF87" s="403"/>
      <c r="AG87" s="403"/>
      <c r="AH87" s="403"/>
      <c r="AI87" s="403"/>
      <c r="AJ87" s="403"/>
      <c r="AK87" s="403"/>
      <c r="AL87" s="403"/>
      <c r="AM87" s="403"/>
      <c r="AN87" s="403"/>
      <c r="AO87" s="403"/>
      <c r="AP87" s="403"/>
      <c r="AQ87" s="403"/>
      <c r="AR87" s="403"/>
      <c r="AS87" s="403"/>
      <c r="AT87" s="403"/>
      <c r="AU87" s="403"/>
      <c r="AV87" s="403"/>
      <c r="AW87" s="403"/>
      <c r="AX87" s="403"/>
      <c r="AY87" s="403"/>
      <c r="AZ87" s="403"/>
      <c r="BA87" s="403"/>
      <c r="BB87" s="403"/>
      <c r="BC87" s="403"/>
      <c r="BD87" s="403"/>
      <c r="BE87" s="403"/>
      <c r="BF87" s="403"/>
      <c r="BG87" s="403"/>
      <c r="BH87" s="403"/>
      <c r="BI87" s="403"/>
      <c r="BJ87" s="403"/>
    </row>
    <row r="88" spans="1:62" s="409" customFormat="1" ht="15" customHeight="1" x14ac:dyDescent="0.2">
      <c r="A88" s="405">
        <f>A87+0.1</f>
        <v>26.200000000000003</v>
      </c>
      <c r="B88" s="406" t="s">
        <v>19</v>
      </c>
      <c r="C88" s="401">
        <f>'[11]7.3.3.'!I667</f>
        <v>2176015</v>
      </c>
      <c r="D88" s="401">
        <f>'[11]7.3.3.'!J667</f>
        <v>0</v>
      </c>
      <c r="E88" s="401">
        <f>'[11]7.3.3.'!K667</f>
        <v>2176015</v>
      </c>
      <c r="F88" s="401">
        <f>'[11]7.3.3.'!L667</f>
        <v>0</v>
      </c>
      <c r="G88" s="401">
        <f>'[11]7.3.3.'!M667</f>
        <v>0</v>
      </c>
      <c r="H88" s="401">
        <f>'[11]7.3.3.'!N667</f>
        <v>0</v>
      </c>
      <c r="I88" s="401">
        <f>'[11]7.3.3.'!O667</f>
        <v>2176015</v>
      </c>
      <c r="J88" s="408"/>
      <c r="K88" s="408"/>
      <c r="L88" s="408"/>
      <c r="M88" s="408"/>
      <c r="N88" s="408"/>
      <c r="O88" s="408"/>
      <c r="P88" s="408"/>
      <c r="Q88" s="408"/>
      <c r="R88" s="408"/>
      <c r="S88" s="408"/>
      <c r="T88" s="408"/>
      <c r="U88" s="408"/>
      <c r="V88" s="408"/>
      <c r="W88" s="408"/>
      <c r="X88" s="408"/>
      <c r="Y88" s="408"/>
      <c r="Z88" s="408"/>
      <c r="AA88" s="408"/>
      <c r="AB88" s="408"/>
      <c r="AC88" s="408"/>
      <c r="AD88" s="408"/>
      <c r="AE88" s="408"/>
      <c r="AF88" s="408"/>
      <c r="AG88" s="408"/>
      <c r="AH88" s="408"/>
      <c r="AI88" s="408"/>
      <c r="AJ88" s="408"/>
      <c r="AK88" s="408"/>
      <c r="AL88" s="408"/>
      <c r="AM88" s="408"/>
      <c r="AN88" s="408"/>
      <c r="AO88" s="408"/>
      <c r="AP88" s="408"/>
      <c r="AQ88" s="408"/>
      <c r="AR88" s="408"/>
      <c r="AS88" s="408"/>
      <c r="AT88" s="408"/>
      <c r="AU88" s="408"/>
      <c r="AV88" s="408"/>
      <c r="AW88" s="408"/>
      <c r="AX88" s="408"/>
      <c r="AY88" s="408"/>
      <c r="AZ88" s="408"/>
      <c r="BA88" s="408"/>
      <c r="BB88" s="408"/>
      <c r="BC88" s="408"/>
      <c r="BD88" s="408"/>
      <c r="BE88" s="408"/>
      <c r="BF88" s="408"/>
      <c r="BG88" s="408"/>
      <c r="BH88" s="408"/>
      <c r="BI88" s="408"/>
      <c r="BJ88" s="408"/>
    </row>
    <row r="89" spans="1:62" x14ac:dyDescent="0.25">
      <c r="A89" s="396">
        <f>A86+1</f>
        <v>27</v>
      </c>
      <c r="B89" s="397" t="s">
        <v>581</v>
      </c>
      <c r="C89" s="396">
        <f t="shared" ref="C89:I89" si="26">SUM(C90:C91)</f>
        <v>8892527</v>
      </c>
      <c r="D89" s="396">
        <f t="shared" si="26"/>
        <v>1934780</v>
      </c>
      <c r="E89" s="396">
        <f t="shared" si="26"/>
        <v>6225704</v>
      </c>
      <c r="F89" s="396">
        <f t="shared" si="26"/>
        <v>732043</v>
      </c>
      <c r="G89" s="396">
        <f t="shared" si="26"/>
        <v>0</v>
      </c>
      <c r="H89" s="396">
        <f t="shared" si="26"/>
        <v>1934780</v>
      </c>
      <c r="I89" s="396">
        <f t="shared" si="26"/>
        <v>6957747</v>
      </c>
    </row>
    <row r="90" spans="1:62" s="404" customFormat="1" ht="15" customHeight="1" x14ac:dyDescent="0.2">
      <c r="A90" s="399">
        <f>A89+0.1</f>
        <v>27.1</v>
      </c>
      <c r="B90" s="400" t="s">
        <v>17</v>
      </c>
      <c r="C90" s="401">
        <f>'[11]7.3.3.'!I682</f>
        <v>2330425</v>
      </c>
      <c r="D90" s="401">
        <f>'[11]7.3.3.'!J682</f>
        <v>1934780</v>
      </c>
      <c r="E90" s="401">
        <f>'[11]7.3.3.'!K682</f>
        <v>395645</v>
      </c>
      <c r="F90" s="401">
        <f>'[11]7.3.3.'!L682</f>
        <v>0</v>
      </c>
      <c r="G90" s="401">
        <f>'[11]7.3.3.'!M682</f>
        <v>0</v>
      </c>
      <c r="H90" s="401">
        <f>'[11]7.3.3.'!N682</f>
        <v>1934780</v>
      </c>
      <c r="I90" s="401">
        <f>'[11]7.3.3.'!O682</f>
        <v>395645</v>
      </c>
      <c r="J90" s="403"/>
      <c r="K90" s="403"/>
      <c r="L90" s="403"/>
      <c r="M90" s="403"/>
      <c r="N90" s="403"/>
      <c r="O90" s="403"/>
      <c r="P90" s="403"/>
      <c r="Q90" s="403"/>
      <c r="R90" s="403"/>
      <c r="S90" s="403"/>
      <c r="T90" s="403"/>
      <c r="U90" s="403"/>
      <c r="V90" s="403"/>
      <c r="W90" s="403"/>
      <c r="X90" s="403"/>
      <c r="Y90" s="403"/>
      <c r="Z90" s="403"/>
      <c r="AA90" s="403"/>
      <c r="AB90" s="403"/>
      <c r="AC90" s="403"/>
      <c r="AD90" s="403"/>
      <c r="AE90" s="403"/>
      <c r="AF90" s="403"/>
      <c r="AG90" s="403"/>
      <c r="AH90" s="403"/>
      <c r="AI90" s="403"/>
      <c r="AJ90" s="403"/>
      <c r="AK90" s="403"/>
      <c r="AL90" s="403"/>
      <c r="AM90" s="403"/>
      <c r="AN90" s="403"/>
      <c r="AO90" s="403"/>
      <c r="AP90" s="403"/>
      <c r="AQ90" s="403"/>
      <c r="AR90" s="403"/>
      <c r="AS90" s="403"/>
      <c r="AT90" s="403"/>
      <c r="AU90" s="403"/>
      <c r="AV90" s="403"/>
      <c r="AW90" s="403"/>
      <c r="AX90" s="403"/>
      <c r="AY90" s="403"/>
      <c r="AZ90" s="403"/>
      <c r="BA90" s="403"/>
      <c r="BB90" s="403"/>
      <c r="BC90" s="403"/>
      <c r="BD90" s="403"/>
      <c r="BE90" s="403"/>
      <c r="BF90" s="403"/>
      <c r="BG90" s="403"/>
      <c r="BH90" s="403"/>
      <c r="BI90" s="403"/>
      <c r="BJ90" s="403"/>
    </row>
    <row r="91" spans="1:62" s="409" customFormat="1" ht="15" customHeight="1" x14ac:dyDescent="0.2">
      <c r="A91" s="405">
        <f>A90+0.1</f>
        <v>27.200000000000003</v>
      </c>
      <c r="B91" s="406" t="s">
        <v>19</v>
      </c>
      <c r="C91" s="401">
        <f>'[11]7.3.3.'!I695</f>
        <v>6562102</v>
      </c>
      <c r="D91" s="401">
        <f>'[11]7.3.3.'!J695</f>
        <v>0</v>
      </c>
      <c r="E91" s="401">
        <f>'[11]7.3.3.'!K695</f>
        <v>5830059</v>
      </c>
      <c r="F91" s="401">
        <f>'[11]7.3.3.'!L695</f>
        <v>732043</v>
      </c>
      <c r="G91" s="401">
        <f>'[11]7.3.3.'!M695</f>
        <v>0</v>
      </c>
      <c r="H91" s="401">
        <f>'[11]7.3.3.'!N695</f>
        <v>0</v>
      </c>
      <c r="I91" s="401">
        <f>'[11]7.3.3.'!O695</f>
        <v>6562102</v>
      </c>
      <c r="J91" s="408"/>
      <c r="K91" s="408"/>
      <c r="L91" s="408"/>
      <c r="M91" s="408"/>
      <c r="N91" s="408"/>
      <c r="O91" s="408"/>
      <c r="P91" s="408"/>
      <c r="Q91" s="408"/>
      <c r="R91" s="408"/>
      <c r="S91" s="408"/>
      <c r="T91" s="408"/>
      <c r="U91" s="408"/>
      <c r="V91" s="408"/>
      <c r="W91" s="408"/>
      <c r="X91" s="408"/>
      <c r="Y91" s="408"/>
      <c r="Z91" s="408"/>
      <c r="AA91" s="408"/>
      <c r="AB91" s="408"/>
      <c r="AC91" s="408"/>
      <c r="AD91" s="408"/>
      <c r="AE91" s="408"/>
      <c r="AF91" s="408"/>
      <c r="AG91" s="408"/>
      <c r="AH91" s="408"/>
      <c r="AI91" s="408"/>
      <c r="AJ91" s="408"/>
      <c r="AK91" s="408"/>
      <c r="AL91" s="408"/>
      <c r="AM91" s="408"/>
      <c r="AN91" s="408"/>
      <c r="AO91" s="408"/>
      <c r="AP91" s="408"/>
      <c r="AQ91" s="408"/>
      <c r="AR91" s="408"/>
      <c r="AS91" s="408"/>
      <c r="AT91" s="408"/>
      <c r="AU91" s="408"/>
      <c r="AV91" s="408"/>
      <c r="AW91" s="408"/>
      <c r="AX91" s="408"/>
      <c r="AY91" s="408"/>
      <c r="AZ91" s="408"/>
      <c r="BA91" s="408"/>
      <c r="BB91" s="408"/>
      <c r="BC91" s="408"/>
      <c r="BD91" s="408"/>
      <c r="BE91" s="408"/>
      <c r="BF91" s="408"/>
      <c r="BG91" s="408"/>
      <c r="BH91" s="408"/>
      <c r="BI91" s="408"/>
      <c r="BJ91" s="408"/>
    </row>
    <row r="92" spans="1:62" x14ac:dyDescent="0.25">
      <c r="A92" s="396">
        <f>A89+1</f>
        <v>28</v>
      </c>
      <c r="B92" s="397" t="s">
        <v>582</v>
      </c>
      <c r="C92" s="396">
        <f t="shared" ref="C92:I92" si="27">SUM(C93:C94)</f>
        <v>2508724</v>
      </c>
      <c r="D92" s="396">
        <f t="shared" si="27"/>
        <v>2508724</v>
      </c>
      <c r="E92" s="396">
        <f t="shared" si="27"/>
        <v>0</v>
      </c>
      <c r="F92" s="396">
        <f t="shared" si="27"/>
        <v>0</v>
      </c>
      <c r="G92" s="396">
        <f t="shared" si="27"/>
        <v>0</v>
      </c>
      <c r="H92" s="396">
        <f t="shared" si="27"/>
        <v>2508724</v>
      </c>
      <c r="I92" s="396">
        <f t="shared" si="27"/>
        <v>0</v>
      </c>
    </row>
    <row r="93" spans="1:62" s="404" customFormat="1" ht="15" customHeight="1" x14ac:dyDescent="0.2">
      <c r="A93" s="399">
        <f>A92+0.1</f>
        <v>28.1</v>
      </c>
      <c r="B93" s="400" t="s">
        <v>17</v>
      </c>
      <c r="C93" s="401">
        <f>'[11]7.3.3.'!I719</f>
        <v>0</v>
      </c>
      <c r="D93" s="401">
        <f>'[11]7.3.3.'!J719</f>
        <v>0</v>
      </c>
      <c r="E93" s="401">
        <f>'[11]7.3.3.'!K719</f>
        <v>0</v>
      </c>
      <c r="F93" s="401">
        <f>'[11]7.3.3.'!L719</f>
        <v>0</v>
      </c>
      <c r="G93" s="401">
        <f>'[11]7.3.3.'!M719</f>
        <v>0</v>
      </c>
      <c r="H93" s="401">
        <f>'[11]7.3.3.'!N719</f>
        <v>0</v>
      </c>
      <c r="I93" s="401">
        <f>'[11]7.3.3.'!O719</f>
        <v>0</v>
      </c>
      <c r="J93" s="403"/>
      <c r="K93" s="403"/>
      <c r="L93" s="403"/>
      <c r="M93" s="403"/>
      <c r="N93" s="403"/>
      <c r="O93" s="403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3"/>
      <c r="AA93" s="403"/>
      <c r="AB93" s="403"/>
      <c r="AC93" s="403"/>
      <c r="AD93" s="403"/>
      <c r="AE93" s="403"/>
      <c r="AF93" s="403"/>
      <c r="AG93" s="403"/>
      <c r="AH93" s="403"/>
      <c r="AI93" s="403"/>
      <c r="AJ93" s="403"/>
      <c r="AK93" s="403"/>
      <c r="AL93" s="403"/>
      <c r="AM93" s="403"/>
      <c r="AN93" s="403"/>
      <c r="AO93" s="403"/>
      <c r="AP93" s="403"/>
      <c r="AQ93" s="403"/>
      <c r="AR93" s="403"/>
      <c r="AS93" s="403"/>
      <c r="AT93" s="403"/>
      <c r="AU93" s="403"/>
      <c r="AV93" s="403"/>
      <c r="AW93" s="403"/>
      <c r="AX93" s="403"/>
      <c r="AY93" s="403"/>
      <c r="AZ93" s="403"/>
      <c r="BA93" s="403"/>
      <c r="BB93" s="403"/>
      <c r="BC93" s="403"/>
      <c r="BD93" s="403"/>
      <c r="BE93" s="403"/>
      <c r="BF93" s="403"/>
      <c r="BG93" s="403"/>
      <c r="BH93" s="403"/>
      <c r="BI93" s="403"/>
      <c r="BJ93" s="403"/>
    </row>
    <row r="94" spans="1:62" s="409" customFormat="1" ht="15" customHeight="1" x14ac:dyDescent="0.2">
      <c r="A94" s="405">
        <f>A93+0.1</f>
        <v>28.200000000000003</v>
      </c>
      <c r="B94" s="406" t="s">
        <v>19</v>
      </c>
      <c r="C94" s="401">
        <f>'[11]7.3.3.'!I721</f>
        <v>2508724</v>
      </c>
      <c r="D94" s="401">
        <f>'[11]7.3.3.'!J721</f>
        <v>2508724</v>
      </c>
      <c r="E94" s="401">
        <f>'[11]7.3.3.'!K721</f>
        <v>0</v>
      </c>
      <c r="F94" s="401">
        <f>'[11]7.3.3.'!L721</f>
        <v>0</v>
      </c>
      <c r="G94" s="401">
        <f>'[11]7.3.3.'!M721</f>
        <v>0</v>
      </c>
      <c r="H94" s="401">
        <f>'[11]7.3.3.'!N721</f>
        <v>2508724</v>
      </c>
      <c r="I94" s="401">
        <f>'[11]7.3.3.'!O721</f>
        <v>0</v>
      </c>
      <c r="J94" s="408"/>
      <c r="K94" s="408"/>
      <c r="L94" s="408"/>
      <c r="M94" s="408"/>
      <c r="N94" s="408"/>
      <c r="O94" s="408"/>
      <c r="P94" s="408"/>
      <c r="Q94" s="408"/>
      <c r="R94" s="408"/>
      <c r="S94" s="408"/>
      <c r="T94" s="408"/>
      <c r="U94" s="408"/>
      <c r="V94" s="408"/>
      <c r="W94" s="408"/>
      <c r="X94" s="408"/>
      <c r="Y94" s="408"/>
      <c r="Z94" s="408"/>
      <c r="AA94" s="408"/>
      <c r="AB94" s="408"/>
      <c r="AC94" s="408"/>
      <c r="AD94" s="408"/>
      <c r="AE94" s="408"/>
      <c r="AF94" s="408"/>
      <c r="AG94" s="408"/>
      <c r="AH94" s="408"/>
      <c r="AI94" s="408"/>
      <c r="AJ94" s="408"/>
      <c r="AK94" s="408"/>
      <c r="AL94" s="408"/>
      <c r="AM94" s="408"/>
      <c r="AN94" s="408"/>
      <c r="AO94" s="408"/>
      <c r="AP94" s="408"/>
      <c r="AQ94" s="408"/>
      <c r="AR94" s="408"/>
      <c r="AS94" s="408"/>
      <c r="AT94" s="408"/>
      <c r="AU94" s="408"/>
      <c r="AV94" s="408"/>
      <c r="AW94" s="408"/>
      <c r="AX94" s="408"/>
      <c r="AY94" s="408"/>
      <c r="AZ94" s="408"/>
      <c r="BA94" s="408"/>
      <c r="BB94" s="408"/>
      <c r="BC94" s="408"/>
      <c r="BD94" s="408"/>
      <c r="BE94" s="408"/>
      <c r="BF94" s="408"/>
      <c r="BG94" s="408"/>
      <c r="BH94" s="408"/>
      <c r="BI94" s="408"/>
      <c r="BJ94" s="408"/>
    </row>
    <row r="95" spans="1:62" x14ac:dyDescent="0.25">
      <c r="A95" s="396">
        <f>A92+1</f>
        <v>29</v>
      </c>
      <c r="B95" s="397" t="s">
        <v>583</v>
      </c>
      <c r="C95" s="396">
        <f t="shared" ref="C95:I95" si="28">SUM(C96:C97)</f>
        <v>976477</v>
      </c>
      <c r="D95" s="396">
        <f t="shared" si="28"/>
        <v>0</v>
      </c>
      <c r="E95" s="396">
        <f t="shared" si="28"/>
        <v>976477</v>
      </c>
      <c r="F95" s="396">
        <f t="shared" si="28"/>
        <v>0</v>
      </c>
      <c r="G95" s="396">
        <f t="shared" si="28"/>
        <v>0</v>
      </c>
      <c r="H95" s="396">
        <f t="shared" si="28"/>
        <v>0</v>
      </c>
      <c r="I95" s="396">
        <f t="shared" si="28"/>
        <v>976477</v>
      </c>
    </row>
    <row r="96" spans="1:62" s="404" customFormat="1" ht="15" customHeight="1" x14ac:dyDescent="0.2">
      <c r="A96" s="399">
        <f>A95+0.1</f>
        <v>29.1</v>
      </c>
      <c r="B96" s="400" t="s">
        <v>17</v>
      </c>
      <c r="C96" s="401">
        <f>'[11]7.3.3.'!I734</f>
        <v>406227</v>
      </c>
      <c r="D96" s="401">
        <f>'[11]7.3.3.'!J734</f>
        <v>0</v>
      </c>
      <c r="E96" s="401">
        <f>'[11]7.3.3.'!K734</f>
        <v>406227</v>
      </c>
      <c r="F96" s="401">
        <f>'[11]7.3.3.'!L734</f>
        <v>0</v>
      </c>
      <c r="G96" s="401">
        <f>'[11]7.3.3.'!M734</f>
        <v>0</v>
      </c>
      <c r="H96" s="401">
        <f>'[11]7.3.3.'!N734</f>
        <v>0</v>
      </c>
      <c r="I96" s="401">
        <f>'[11]7.3.3.'!O734</f>
        <v>406227</v>
      </c>
      <c r="J96" s="403"/>
      <c r="K96" s="403"/>
      <c r="L96" s="403"/>
      <c r="M96" s="403"/>
      <c r="N96" s="403"/>
      <c r="O96" s="403"/>
      <c r="P96" s="403"/>
      <c r="Q96" s="403"/>
      <c r="R96" s="403"/>
      <c r="S96" s="403"/>
      <c r="T96" s="403"/>
      <c r="U96" s="403"/>
      <c r="V96" s="403"/>
      <c r="W96" s="403"/>
      <c r="X96" s="403"/>
      <c r="Y96" s="403"/>
      <c r="Z96" s="403"/>
      <c r="AA96" s="403"/>
      <c r="AB96" s="403"/>
      <c r="AC96" s="403"/>
      <c r="AD96" s="403"/>
      <c r="AE96" s="403"/>
      <c r="AF96" s="403"/>
      <c r="AG96" s="403"/>
      <c r="AH96" s="403"/>
      <c r="AI96" s="403"/>
      <c r="AJ96" s="403"/>
      <c r="AK96" s="403"/>
      <c r="AL96" s="403"/>
      <c r="AM96" s="403"/>
      <c r="AN96" s="403"/>
      <c r="AO96" s="403"/>
      <c r="AP96" s="403"/>
      <c r="AQ96" s="403"/>
      <c r="AR96" s="403"/>
      <c r="AS96" s="403"/>
      <c r="AT96" s="403"/>
      <c r="AU96" s="403"/>
      <c r="AV96" s="403"/>
      <c r="AW96" s="403"/>
      <c r="AX96" s="403"/>
      <c r="AY96" s="403"/>
      <c r="AZ96" s="403"/>
      <c r="BA96" s="403"/>
      <c r="BB96" s="403"/>
      <c r="BC96" s="403"/>
      <c r="BD96" s="403"/>
      <c r="BE96" s="403"/>
      <c r="BF96" s="403"/>
      <c r="BG96" s="403"/>
      <c r="BH96" s="403"/>
      <c r="BI96" s="403"/>
      <c r="BJ96" s="403"/>
    </row>
    <row r="97" spans="1:62" s="409" customFormat="1" ht="15" customHeight="1" x14ac:dyDescent="0.2">
      <c r="A97" s="405">
        <f>A96+0.1</f>
        <v>29.200000000000003</v>
      </c>
      <c r="B97" s="406" t="s">
        <v>19</v>
      </c>
      <c r="C97" s="401">
        <f>'[11]7.3.3.'!I740</f>
        <v>570250</v>
      </c>
      <c r="D97" s="401">
        <f>'[11]7.3.3.'!J740</f>
        <v>0</v>
      </c>
      <c r="E97" s="401">
        <f>'[11]7.3.3.'!K740</f>
        <v>570250</v>
      </c>
      <c r="F97" s="401">
        <f>'[11]7.3.3.'!L740</f>
        <v>0</v>
      </c>
      <c r="G97" s="401">
        <f>'[11]7.3.3.'!M740</f>
        <v>0</v>
      </c>
      <c r="H97" s="401">
        <f>'[11]7.3.3.'!N740</f>
        <v>0</v>
      </c>
      <c r="I97" s="401">
        <f>'[11]7.3.3.'!O740</f>
        <v>570250</v>
      </c>
      <c r="J97" s="408"/>
      <c r="K97" s="408"/>
      <c r="L97" s="408"/>
      <c r="M97" s="408"/>
      <c r="N97" s="408"/>
      <c r="O97" s="408"/>
      <c r="P97" s="408"/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  <c r="AB97" s="408"/>
      <c r="AC97" s="408"/>
      <c r="AD97" s="408"/>
      <c r="AE97" s="408"/>
      <c r="AF97" s="408"/>
      <c r="AG97" s="408"/>
      <c r="AH97" s="408"/>
      <c r="AI97" s="408"/>
      <c r="AJ97" s="408"/>
      <c r="AK97" s="408"/>
      <c r="AL97" s="408"/>
      <c r="AM97" s="408"/>
      <c r="AN97" s="408"/>
      <c r="AO97" s="408"/>
      <c r="AP97" s="408"/>
      <c r="AQ97" s="408"/>
      <c r="AR97" s="408"/>
      <c r="AS97" s="408"/>
      <c r="AT97" s="408"/>
      <c r="AU97" s="408"/>
      <c r="AV97" s="408"/>
      <c r="AW97" s="408"/>
      <c r="AX97" s="408"/>
      <c r="AY97" s="408"/>
      <c r="AZ97" s="408"/>
      <c r="BA97" s="408"/>
      <c r="BB97" s="408"/>
      <c r="BC97" s="408"/>
      <c r="BD97" s="408"/>
      <c r="BE97" s="408"/>
      <c r="BF97" s="408"/>
      <c r="BG97" s="408"/>
      <c r="BH97" s="408"/>
      <c r="BI97" s="408"/>
      <c r="BJ97" s="408"/>
    </row>
    <row r="98" spans="1:62" x14ac:dyDescent="0.25">
      <c r="A98" s="396">
        <f>A95+1</f>
        <v>30</v>
      </c>
      <c r="B98" s="397" t="s">
        <v>584</v>
      </c>
      <c r="C98" s="396">
        <f t="shared" ref="C98:I98" si="29">SUM(C99:C100)</f>
        <v>1600361</v>
      </c>
      <c r="D98" s="396">
        <f t="shared" si="29"/>
        <v>0</v>
      </c>
      <c r="E98" s="396">
        <f t="shared" si="29"/>
        <v>1600361</v>
      </c>
      <c r="F98" s="396">
        <f t="shared" si="29"/>
        <v>0</v>
      </c>
      <c r="G98" s="396">
        <f t="shared" si="29"/>
        <v>0</v>
      </c>
      <c r="H98" s="396">
        <f t="shared" si="29"/>
        <v>0</v>
      </c>
      <c r="I98" s="396">
        <f t="shared" si="29"/>
        <v>1600361</v>
      </c>
    </row>
    <row r="99" spans="1:62" s="404" customFormat="1" ht="15" customHeight="1" x14ac:dyDescent="0.2">
      <c r="A99" s="399">
        <f>A98+0.1</f>
        <v>30.1</v>
      </c>
      <c r="B99" s="400" t="s">
        <v>17</v>
      </c>
      <c r="C99" s="401">
        <f>'[11]7.3.3.'!I752</f>
        <v>344832</v>
      </c>
      <c r="D99" s="401">
        <f>'[11]7.3.3.'!J752</f>
        <v>0</v>
      </c>
      <c r="E99" s="401">
        <f>'[11]7.3.3.'!K752</f>
        <v>344832</v>
      </c>
      <c r="F99" s="401">
        <f>'[11]7.3.3.'!L752</f>
        <v>0</v>
      </c>
      <c r="G99" s="401">
        <f>'[11]7.3.3.'!M752</f>
        <v>0</v>
      </c>
      <c r="H99" s="401">
        <f>'[11]7.3.3.'!N752</f>
        <v>0</v>
      </c>
      <c r="I99" s="401">
        <f>'[11]7.3.3.'!O752</f>
        <v>344832</v>
      </c>
      <c r="J99" s="403"/>
      <c r="K99" s="403"/>
      <c r="L99" s="403"/>
      <c r="M99" s="403"/>
      <c r="N99" s="403"/>
      <c r="O99" s="403"/>
      <c r="P99" s="403"/>
      <c r="Q99" s="403"/>
      <c r="R99" s="403"/>
      <c r="S99" s="403"/>
      <c r="T99" s="403"/>
      <c r="U99" s="403"/>
      <c r="V99" s="403"/>
      <c r="W99" s="403"/>
      <c r="X99" s="403"/>
      <c r="Y99" s="403"/>
      <c r="Z99" s="403"/>
      <c r="AA99" s="403"/>
      <c r="AB99" s="403"/>
      <c r="AC99" s="403"/>
      <c r="AD99" s="403"/>
      <c r="AE99" s="403"/>
      <c r="AF99" s="403"/>
      <c r="AG99" s="403"/>
      <c r="AH99" s="403"/>
      <c r="AI99" s="403"/>
      <c r="AJ99" s="403"/>
      <c r="AK99" s="403"/>
      <c r="AL99" s="403"/>
      <c r="AM99" s="403"/>
      <c r="AN99" s="403"/>
      <c r="AO99" s="403"/>
      <c r="AP99" s="403"/>
      <c r="AQ99" s="403"/>
      <c r="AR99" s="403"/>
      <c r="AS99" s="403"/>
      <c r="AT99" s="403"/>
      <c r="AU99" s="403"/>
      <c r="AV99" s="403"/>
      <c r="AW99" s="403"/>
      <c r="AX99" s="403"/>
      <c r="AY99" s="403"/>
      <c r="AZ99" s="403"/>
      <c r="BA99" s="403"/>
      <c r="BB99" s="403"/>
      <c r="BC99" s="403"/>
      <c r="BD99" s="403"/>
      <c r="BE99" s="403"/>
      <c r="BF99" s="403"/>
      <c r="BG99" s="403"/>
      <c r="BH99" s="403"/>
      <c r="BI99" s="403"/>
      <c r="BJ99" s="403"/>
    </row>
    <row r="100" spans="1:62" s="409" customFormat="1" ht="15" customHeight="1" x14ac:dyDescent="0.2">
      <c r="A100" s="405">
        <f>A99+0.1</f>
        <v>30.200000000000003</v>
      </c>
      <c r="B100" s="406" t="s">
        <v>19</v>
      </c>
      <c r="C100" s="401">
        <f>'[11]7.3.3.'!I754</f>
        <v>1255529</v>
      </c>
      <c r="D100" s="401">
        <f>'[11]7.3.3.'!J754</f>
        <v>0</v>
      </c>
      <c r="E100" s="401">
        <f>'[11]7.3.3.'!K754</f>
        <v>1255529</v>
      </c>
      <c r="F100" s="401">
        <f>'[11]7.3.3.'!L754</f>
        <v>0</v>
      </c>
      <c r="G100" s="401">
        <f>'[11]7.3.3.'!M754</f>
        <v>0</v>
      </c>
      <c r="H100" s="401">
        <f>'[11]7.3.3.'!N754</f>
        <v>0</v>
      </c>
      <c r="I100" s="401">
        <f>'[11]7.3.3.'!O754</f>
        <v>1255529</v>
      </c>
      <c r="J100" s="408"/>
      <c r="K100" s="408"/>
      <c r="L100" s="408"/>
      <c r="M100" s="408"/>
      <c r="N100" s="408"/>
      <c r="O100" s="408"/>
      <c r="P100" s="408"/>
      <c r="Q100" s="408"/>
      <c r="R100" s="408"/>
      <c r="S100" s="408"/>
      <c r="T100" s="408"/>
      <c r="U100" s="408"/>
      <c r="V100" s="408"/>
      <c r="W100" s="408"/>
      <c r="X100" s="408"/>
      <c r="Y100" s="408"/>
      <c r="Z100" s="408"/>
      <c r="AA100" s="408"/>
      <c r="AB100" s="408"/>
      <c r="AC100" s="408"/>
      <c r="AD100" s="408"/>
      <c r="AE100" s="408"/>
      <c r="AF100" s="408"/>
      <c r="AG100" s="408"/>
      <c r="AH100" s="408"/>
      <c r="AI100" s="408"/>
      <c r="AJ100" s="408"/>
      <c r="AK100" s="408"/>
      <c r="AL100" s="408"/>
      <c r="AM100" s="408"/>
      <c r="AN100" s="408"/>
      <c r="AO100" s="408"/>
      <c r="AP100" s="408"/>
      <c r="AQ100" s="408"/>
      <c r="AR100" s="408"/>
      <c r="AS100" s="408"/>
      <c r="AT100" s="408"/>
      <c r="AU100" s="408"/>
      <c r="AV100" s="408"/>
      <c r="AW100" s="408"/>
      <c r="AX100" s="408"/>
      <c r="AY100" s="408"/>
      <c r="AZ100" s="408"/>
      <c r="BA100" s="408"/>
      <c r="BB100" s="408"/>
      <c r="BC100" s="408"/>
      <c r="BD100" s="408"/>
      <c r="BE100" s="408"/>
      <c r="BF100" s="408"/>
      <c r="BG100" s="408"/>
      <c r="BH100" s="408"/>
      <c r="BI100" s="408"/>
      <c r="BJ100" s="408"/>
    </row>
    <row r="101" spans="1:62" x14ac:dyDescent="0.25">
      <c r="A101" s="396">
        <f>A98+1</f>
        <v>31</v>
      </c>
      <c r="B101" s="397" t="s">
        <v>585</v>
      </c>
      <c r="C101" s="396">
        <f t="shared" ref="C101:I101" si="30">SUM(C102:C103)</f>
        <v>1872079</v>
      </c>
      <c r="D101" s="396">
        <f t="shared" si="30"/>
        <v>1283400</v>
      </c>
      <c r="E101" s="396">
        <f t="shared" si="30"/>
        <v>588679</v>
      </c>
      <c r="F101" s="396">
        <f t="shared" si="30"/>
        <v>0</v>
      </c>
      <c r="G101" s="396">
        <f t="shared" si="30"/>
        <v>0</v>
      </c>
      <c r="H101" s="396">
        <f t="shared" si="30"/>
        <v>1283400</v>
      </c>
      <c r="I101" s="396">
        <f t="shared" si="30"/>
        <v>588679</v>
      </c>
    </row>
    <row r="102" spans="1:62" s="404" customFormat="1" ht="15" customHeight="1" x14ac:dyDescent="0.2">
      <c r="A102" s="399">
        <f>A101+0.1</f>
        <v>31.1</v>
      </c>
      <c r="B102" s="400" t="s">
        <v>17</v>
      </c>
      <c r="C102" s="401">
        <f>'[11]7.3.3.'!I767</f>
        <v>1283400</v>
      </c>
      <c r="D102" s="401">
        <f>'[11]7.3.3.'!J767</f>
        <v>1283400</v>
      </c>
      <c r="E102" s="401">
        <f>'[11]7.3.3.'!K767</f>
        <v>0</v>
      </c>
      <c r="F102" s="401">
        <f>'[11]7.3.3.'!L767</f>
        <v>0</v>
      </c>
      <c r="G102" s="401">
        <f>'[11]7.3.3.'!M767</f>
        <v>0</v>
      </c>
      <c r="H102" s="401">
        <f>'[11]7.3.3.'!N767</f>
        <v>1283400</v>
      </c>
      <c r="I102" s="401">
        <f>'[11]7.3.3.'!O767</f>
        <v>0</v>
      </c>
      <c r="J102" s="403"/>
      <c r="K102" s="403"/>
      <c r="L102" s="403"/>
      <c r="M102" s="403"/>
      <c r="N102" s="403"/>
      <c r="O102" s="403"/>
      <c r="P102" s="403"/>
      <c r="Q102" s="403"/>
      <c r="R102" s="403"/>
      <c r="S102" s="403"/>
      <c r="T102" s="403"/>
      <c r="U102" s="403"/>
      <c r="V102" s="403"/>
      <c r="W102" s="403"/>
      <c r="X102" s="403"/>
      <c r="Y102" s="403"/>
      <c r="Z102" s="403"/>
      <c r="AA102" s="403"/>
      <c r="AB102" s="403"/>
      <c r="AC102" s="403"/>
      <c r="AD102" s="403"/>
      <c r="AE102" s="403"/>
      <c r="AF102" s="403"/>
      <c r="AG102" s="403"/>
      <c r="AH102" s="403"/>
      <c r="AI102" s="403"/>
      <c r="AJ102" s="403"/>
      <c r="AK102" s="403"/>
      <c r="AL102" s="403"/>
      <c r="AM102" s="403"/>
      <c r="AN102" s="403"/>
      <c r="AO102" s="403"/>
      <c r="AP102" s="403"/>
      <c r="AQ102" s="403"/>
      <c r="AR102" s="403"/>
      <c r="AS102" s="403"/>
      <c r="AT102" s="403"/>
      <c r="AU102" s="403"/>
      <c r="AV102" s="403"/>
      <c r="AW102" s="403"/>
      <c r="AX102" s="403"/>
      <c r="AY102" s="403"/>
      <c r="AZ102" s="403"/>
      <c r="BA102" s="403"/>
      <c r="BB102" s="403"/>
      <c r="BC102" s="403"/>
      <c r="BD102" s="403"/>
      <c r="BE102" s="403"/>
      <c r="BF102" s="403"/>
      <c r="BG102" s="403"/>
      <c r="BH102" s="403"/>
      <c r="BI102" s="403"/>
      <c r="BJ102" s="403"/>
    </row>
    <row r="103" spans="1:62" s="409" customFormat="1" ht="15" customHeight="1" x14ac:dyDescent="0.2">
      <c r="A103" s="405">
        <f>A102+0.1</f>
        <v>31.200000000000003</v>
      </c>
      <c r="B103" s="406" t="s">
        <v>19</v>
      </c>
      <c r="C103" s="401">
        <f>'[11]7.3.3.'!I769</f>
        <v>588679</v>
      </c>
      <c r="D103" s="401">
        <f>'[11]7.3.3.'!J769</f>
        <v>0</v>
      </c>
      <c r="E103" s="401">
        <f>'[11]7.3.3.'!K769</f>
        <v>588679</v>
      </c>
      <c r="F103" s="401">
        <f>'[11]7.3.3.'!L769</f>
        <v>0</v>
      </c>
      <c r="G103" s="401">
        <f>'[11]7.3.3.'!M769</f>
        <v>0</v>
      </c>
      <c r="H103" s="401">
        <f>'[11]7.3.3.'!N769</f>
        <v>0</v>
      </c>
      <c r="I103" s="401">
        <f>'[11]7.3.3.'!O769</f>
        <v>588679</v>
      </c>
      <c r="J103" s="408"/>
      <c r="K103" s="408"/>
      <c r="L103" s="408"/>
      <c r="M103" s="408"/>
      <c r="N103" s="408"/>
      <c r="O103" s="408"/>
      <c r="P103" s="408"/>
      <c r="Q103" s="408"/>
      <c r="R103" s="408"/>
      <c r="S103" s="408"/>
      <c r="T103" s="408"/>
      <c r="U103" s="408"/>
      <c r="V103" s="408"/>
      <c r="W103" s="408"/>
      <c r="X103" s="408"/>
      <c r="Y103" s="408"/>
      <c r="Z103" s="408"/>
      <c r="AA103" s="408"/>
      <c r="AB103" s="408"/>
      <c r="AC103" s="408"/>
      <c r="AD103" s="408"/>
      <c r="AE103" s="408"/>
      <c r="AF103" s="408"/>
      <c r="AG103" s="408"/>
      <c r="AH103" s="408"/>
      <c r="AI103" s="408"/>
      <c r="AJ103" s="408"/>
      <c r="AK103" s="408"/>
      <c r="AL103" s="408"/>
      <c r="AM103" s="408"/>
      <c r="AN103" s="408"/>
      <c r="AO103" s="408"/>
      <c r="AP103" s="408"/>
      <c r="AQ103" s="408"/>
      <c r="AR103" s="408"/>
      <c r="AS103" s="408"/>
      <c r="AT103" s="408"/>
      <c r="AU103" s="408"/>
      <c r="AV103" s="408"/>
      <c r="AW103" s="408"/>
      <c r="AX103" s="408"/>
      <c r="AY103" s="408"/>
      <c r="AZ103" s="408"/>
      <c r="BA103" s="408"/>
      <c r="BB103" s="408"/>
      <c r="BC103" s="408"/>
      <c r="BD103" s="408"/>
      <c r="BE103" s="408"/>
      <c r="BF103" s="408"/>
      <c r="BG103" s="408"/>
      <c r="BH103" s="408"/>
      <c r="BI103" s="408"/>
      <c r="BJ103" s="408"/>
    </row>
    <row r="104" spans="1:62" x14ac:dyDescent="0.25">
      <c r="A104" s="396">
        <f>A101+1</f>
        <v>32</v>
      </c>
      <c r="B104" s="397" t="s">
        <v>586</v>
      </c>
      <c r="C104" s="396">
        <f t="shared" ref="C104:I104" si="31">SUM(C105:C106)</f>
        <v>2519775</v>
      </c>
      <c r="D104" s="396">
        <f t="shared" si="31"/>
        <v>1416446</v>
      </c>
      <c r="E104" s="396">
        <f t="shared" si="31"/>
        <v>1103329</v>
      </c>
      <c r="F104" s="396">
        <f t="shared" si="31"/>
        <v>0</v>
      </c>
      <c r="G104" s="396">
        <f t="shared" si="31"/>
        <v>0</v>
      </c>
      <c r="H104" s="396">
        <f t="shared" si="31"/>
        <v>1416446</v>
      </c>
      <c r="I104" s="396">
        <f t="shared" si="31"/>
        <v>1103329</v>
      </c>
    </row>
    <row r="105" spans="1:62" s="404" customFormat="1" ht="15" customHeight="1" x14ac:dyDescent="0.2">
      <c r="A105" s="399">
        <f>A104+0.1</f>
        <v>32.1</v>
      </c>
      <c r="B105" s="400" t="s">
        <v>17</v>
      </c>
      <c r="C105" s="401">
        <f>'[11]7.3.3.'!I783</f>
        <v>1416446</v>
      </c>
      <c r="D105" s="401">
        <f>'[11]7.3.3.'!J783</f>
        <v>1416446</v>
      </c>
      <c r="E105" s="401">
        <f>'[11]7.3.3.'!K783</f>
        <v>0</v>
      </c>
      <c r="F105" s="401">
        <f>'[11]7.3.3.'!L783</f>
        <v>0</v>
      </c>
      <c r="G105" s="401">
        <f>'[11]7.3.3.'!M783</f>
        <v>0</v>
      </c>
      <c r="H105" s="401">
        <f>'[11]7.3.3.'!N783</f>
        <v>1416446</v>
      </c>
      <c r="I105" s="401">
        <f>'[11]7.3.3.'!O783</f>
        <v>0</v>
      </c>
      <c r="J105" s="403"/>
      <c r="K105" s="403"/>
      <c r="L105" s="403"/>
      <c r="M105" s="403"/>
      <c r="N105" s="403"/>
      <c r="O105" s="403"/>
      <c r="P105" s="403"/>
      <c r="Q105" s="403"/>
      <c r="R105" s="403"/>
      <c r="S105" s="403"/>
      <c r="T105" s="403"/>
      <c r="U105" s="403"/>
      <c r="V105" s="403"/>
      <c r="W105" s="403"/>
      <c r="X105" s="403"/>
      <c r="Y105" s="403"/>
      <c r="Z105" s="403"/>
      <c r="AA105" s="403"/>
      <c r="AB105" s="403"/>
      <c r="AC105" s="403"/>
      <c r="AD105" s="403"/>
      <c r="AE105" s="403"/>
      <c r="AF105" s="403"/>
      <c r="AG105" s="403"/>
      <c r="AH105" s="403"/>
      <c r="AI105" s="403"/>
      <c r="AJ105" s="403"/>
      <c r="AK105" s="403"/>
      <c r="AL105" s="403"/>
      <c r="AM105" s="403"/>
      <c r="AN105" s="403"/>
      <c r="AO105" s="403"/>
      <c r="AP105" s="403"/>
      <c r="AQ105" s="403"/>
      <c r="AR105" s="403"/>
      <c r="AS105" s="403"/>
      <c r="AT105" s="403"/>
      <c r="AU105" s="403"/>
      <c r="AV105" s="403"/>
      <c r="AW105" s="403"/>
      <c r="AX105" s="403"/>
      <c r="AY105" s="403"/>
      <c r="AZ105" s="403"/>
      <c r="BA105" s="403"/>
      <c r="BB105" s="403"/>
      <c r="BC105" s="403"/>
      <c r="BD105" s="403"/>
      <c r="BE105" s="403"/>
      <c r="BF105" s="403"/>
      <c r="BG105" s="403"/>
      <c r="BH105" s="403"/>
      <c r="BI105" s="403"/>
      <c r="BJ105" s="403"/>
    </row>
    <row r="106" spans="1:62" s="409" customFormat="1" ht="15" customHeight="1" x14ac:dyDescent="0.2">
      <c r="A106" s="405">
        <f>A105+0.1</f>
        <v>32.200000000000003</v>
      </c>
      <c r="B106" s="406" t="s">
        <v>19</v>
      </c>
      <c r="C106" s="401">
        <f>'[11]7.3.3.'!I789</f>
        <v>1103329</v>
      </c>
      <c r="D106" s="401">
        <f>'[11]7.3.3.'!J789</f>
        <v>0</v>
      </c>
      <c r="E106" s="401">
        <f>'[11]7.3.3.'!K789</f>
        <v>1103329</v>
      </c>
      <c r="F106" s="401">
        <f>'[11]7.3.3.'!L789</f>
        <v>0</v>
      </c>
      <c r="G106" s="401">
        <f>'[11]7.3.3.'!M789</f>
        <v>0</v>
      </c>
      <c r="H106" s="401">
        <f>'[11]7.3.3.'!N789</f>
        <v>0</v>
      </c>
      <c r="I106" s="401">
        <f>'[11]7.3.3.'!O789</f>
        <v>1103329</v>
      </c>
      <c r="J106" s="408"/>
      <c r="K106" s="408"/>
      <c r="L106" s="408"/>
      <c r="M106" s="408"/>
      <c r="N106" s="408"/>
      <c r="O106" s="408"/>
      <c r="P106" s="408"/>
      <c r="Q106" s="408"/>
      <c r="R106" s="408"/>
      <c r="S106" s="408"/>
      <c r="T106" s="408"/>
      <c r="U106" s="408"/>
      <c r="V106" s="408"/>
      <c r="W106" s="408"/>
      <c r="X106" s="408"/>
      <c r="Y106" s="408"/>
      <c r="Z106" s="408"/>
      <c r="AA106" s="408"/>
      <c r="AB106" s="408"/>
      <c r="AC106" s="408"/>
      <c r="AD106" s="408"/>
      <c r="AE106" s="408"/>
      <c r="AF106" s="408"/>
      <c r="AG106" s="408"/>
      <c r="AH106" s="408"/>
      <c r="AI106" s="408"/>
      <c r="AJ106" s="408"/>
      <c r="AK106" s="408"/>
      <c r="AL106" s="408"/>
      <c r="AM106" s="408"/>
      <c r="AN106" s="408"/>
      <c r="AO106" s="408"/>
      <c r="AP106" s="408"/>
      <c r="AQ106" s="408"/>
      <c r="AR106" s="408"/>
      <c r="AS106" s="408"/>
      <c r="AT106" s="408"/>
      <c r="AU106" s="408"/>
      <c r="AV106" s="408"/>
      <c r="AW106" s="408"/>
      <c r="AX106" s="408"/>
      <c r="AY106" s="408"/>
      <c r="AZ106" s="408"/>
      <c r="BA106" s="408"/>
      <c r="BB106" s="408"/>
      <c r="BC106" s="408"/>
      <c r="BD106" s="408"/>
      <c r="BE106" s="408"/>
      <c r="BF106" s="408"/>
      <c r="BG106" s="408"/>
      <c r="BH106" s="408"/>
      <c r="BI106" s="408"/>
      <c r="BJ106" s="408"/>
    </row>
    <row r="107" spans="1:62" x14ac:dyDescent="0.25">
      <c r="A107" s="396">
        <f>A104+1</f>
        <v>33</v>
      </c>
      <c r="B107" s="397" t="s">
        <v>587</v>
      </c>
      <c r="C107" s="396">
        <f t="shared" ref="C107:I107" si="32">SUM(C108:C109)</f>
        <v>11355191</v>
      </c>
      <c r="D107" s="396">
        <f t="shared" si="32"/>
        <v>10478797</v>
      </c>
      <c r="E107" s="396">
        <f t="shared" si="32"/>
        <v>876394</v>
      </c>
      <c r="F107" s="396">
        <f t="shared" si="32"/>
        <v>0</v>
      </c>
      <c r="G107" s="396">
        <f t="shared" si="32"/>
        <v>0</v>
      </c>
      <c r="H107" s="396">
        <f t="shared" si="32"/>
        <v>10478797</v>
      </c>
      <c r="I107" s="396">
        <f t="shared" si="32"/>
        <v>876394</v>
      </c>
    </row>
    <row r="108" spans="1:62" s="404" customFormat="1" ht="15" customHeight="1" x14ac:dyDescent="0.2">
      <c r="A108" s="399">
        <f>A107+0.1</f>
        <v>33.1</v>
      </c>
      <c r="B108" s="400" t="s">
        <v>17</v>
      </c>
      <c r="C108" s="401">
        <f>'[11]7.3.3.'!I802</f>
        <v>3191583</v>
      </c>
      <c r="D108" s="401">
        <f>'[11]7.3.3.'!J802</f>
        <v>3191583</v>
      </c>
      <c r="E108" s="401">
        <f>'[11]7.3.3.'!K802</f>
        <v>0</v>
      </c>
      <c r="F108" s="401">
        <f>'[11]7.3.3.'!L802</f>
        <v>0</v>
      </c>
      <c r="G108" s="401">
        <f>'[11]7.3.3.'!M802</f>
        <v>0</v>
      </c>
      <c r="H108" s="401">
        <f>'[11]7.3.3.'!N802</f>
        <v>3191583</v>
      </c>
      <c r="I108" s="401">
        <f>'[11]7.3.3.'!O802</f>
        <v>0</v>
      </c>
      <c r="J108" s="403"/>
      <c r="K108" s="403"/>
      <c r="L108" s="403"/>
      <c r="M108" s="403"/>
      <c r="N108" s="403"/>
      <c r="O108" s="403"/>
      <c r="P108" s="403"/>
      <c r="Q108" s="403"/>
      <c r="R108" s="403"/>
      <c r="S108" s="403"/>
      <c r="T108" s="403"/>
      <c r="U108" s="403"/>
      <c r="V108" s="403"/>
      <c r="W108" s="403"/>
      <c r="X108" s="403"/>
      <c r="Y108" s="403"/>
      <c r="Z108" s="403"/>
      <c r="AA108" s="403"/>
      <c r="AB108" s="403"/>
      <c r="AC108" s="403"/>
      <c r="AD108" s="403"/>
      <c r="AE108" s="403"/>
      <c r="AF108" s="403"/>
      <c r="AG108" s="403"/>
      <c r="AH108" s="403"/>
      <c r="AI108" s="403"/>
      <c r="AJ108" s="403"/>
      <c r="AK108" s="403"/>
      <c r="AL108" s="403"/>
      <c r="AM108" s="403"/>
      <c r="AN108" s="403"/>
      <c r="AO108" s="403"/>
      <c r="AP108" s="403"/>
      <c r="AQ108" s="403"/>
      <c r="AR108" s="403"/>
      <c r="AS108" s="403"/>
      <c r="AT108" s="403"/>
      <c r="AU108" s="403"/>
      <c r="AV108" s="403"/>
      <c r="AW108" s="403"/>
      <c r="AX108" s="403"/>
      <c r="AY108" s="403"/>
      <c r="AZ108" s="403"/>
      <c r="BA108" s="403"/>
      <c r="BB108" s="403"/>
      <c r="BC108" s="403"/>
      <c r="BD108" s="403"/>
      <c r="BE108" s="403"/>
      <c r="BF108" s="403"/>
      <c r="BG108" s="403"/>
      <c r="BH108" s="403"/>
      <c r="BI108" s="403"/>
      <c r="BJ108" s="403"/>
    </row>
    <row r="109" spans="1:62" s="409" customFormat="1" ht="15" customHeight="1" x14ac:dyDescent="0.2">
      <c r="A109" s="405">
        <f>A108+0.1</f>
        <v>33.200000000000003</v>
      </c>
      <c r="B109" s="406" t="s">
        <v>19</v>
      </c>
      <c r="C109" s="401">
        <f>'[11]7.3.3.'!I811</f>
        <v>8163608</v>
      </c>
      <c r="D109" s="401">
        <f>'[11]7.3.3.'!J811</f>
        <v>7287214</v>
      </c>
      <c r="E109" s="401">
        <f>'[11]7.3.3.'!K811</f>
        <v>876394</v>
      </c>
      <c r="F109" s="401">
        <f>'[11]7.3.3.'!L811</f>
        <v>0</v>
      </c>
      <c r="G109" s="401">
        <f>'[11]7.3.3.'!M811</f>
        <v>0</v>
      </c>
      <c r="H109" s="401">
        <f>'[11]7.3.3.'!N811</f>
        <v>7287214</v>
      </c>
      <c r="I109" s="401">
        <f>'[11]7.3.3.'!O811</f>
        <v>876394</v>
      </c>
      <c r="J109" s="408"/>
      <c r="K109" s="408"/>
      <c r="L109" s="408"/>
      <c r="M109" s="408"/>
      <c r="N109" s="408"/>
      <c r="O109" s="408"/>
      <c r="P109" s="408"/>
      <c r="Q109" s="408"/>
      <c r="R109" s="408"/>
      <c r="S109" s="408"/>
      <c r="T109" s="408"/>
      <c r="U109" s="408"/>
      <c r="V109" s="408"/>
      <c r="W109" s="408"/>
      <c r="X109" s="408"/>
      <c r="Y109" s="408"/>
      <c r="Z109" s="408"/>
      <c r="AA109" s="408"/>
      <c r="AB109" s="408"/>
      <c r="AC109" s="408"/>
      <c r="AD109" s="408"/>
      <c r="AE109" s="408"/>
      <c r="AF109" s="408"/>
      <c r="AG109" s="408"/>
      <c r="AH109" s="408"/>
      <c r="AI109" s="408"/>
      <c r="AJ109" s="408"/>
      <c r="AK109" s="408"/>
      <c r="AL109" s="408"/>
      <c r="AM109" s="408"/>
      <c r="AN109" s="408"/>
      <c r="AO109" s="408"/>
      <c r="AP109" s="408"/>
      <c r="AQ109" s="408"/>
      <c r="AR109" s="408"/>
      <c r="AS109" s="408"/>
      <c r="AT109" s="408"/>
      <c r="AU109" s="408"/>
      <c r="AV109" s="408"/>
      <c r="AW109" s="408"/>
      <c r="AX109" s="408"/>
      <c r="AY109" s="408"/>
      <c r="AZ109" s="408"/>
      <c r="BA109" s="408"/>
      <c r="BB109" s="408"/>
      <c r="BC109" s="408"/>
      <c r="BD109" s="408"/>
      <c r="BE109" s="408"/>
      <c r="BF109" s="408"/>
      <c r="BG109" s="408"/>
      <c r="BH109" s="408"/>
      <c r="BI109" s="408"/>
      <c r="BJ109" s="408"/>
    </row>
    <row r="110" spans="1:62" x14ac:dyDescent="0.25">
      <c r="A110" s="396">
        <f>A107+1</f>
        <v>34</v>
      </c>
      <c r="B110" s="397" t="s">
        <v>588</v>
      </c>
      <c r="C110" s="396">
        <f t="shared" ref="C110:I110" si="33">SUM(C111:C112)</f>
        <v>4471568</v>
      </c>
      <c r="D110" s="396">
        <f t="shared" si="33"/>
        <v>3362368</v>
      </c>
      <c r="E110" s="396">
        <f t="shared" si="33"/>
        <v>1109200</v>
      </c>
      <c r="F110" s="396">
        <f t="shared" si="33"/>
        <v>0</v>
      </c>
      <c r="G110" s="396">
        <f t="shared" si="33"/>
        <v>0</v>
      </c>
      <c r="H110" s="396">
        <f t="shared" si="33"/>
        <v>3362368</v>
      </c>
      <c r="I110" s="396">
        <f t="shared" si="33"/>
        <v>1109200</v>
      </c>
    </row>
    <row r="111" spans="1:62" s="404" customFormat="1" ht="15" customHeight="1" x14ac:dyDescent="0.2">
      <c r="A111" s="399">
        <f>A110+0.1</f>
        <v>34.1</v>
      </c>
      <c r="B111" s="400" t="s">
        <v>17</v>
      </c>
      <c r="C111" s="401">
        <f>'[11]7.3.3.'!I827</f>
        <v>2273082</v>
      </c>
      <c r="D111" s="401">
        <f>'[11]7.3.3.'!J827</f>
        <v>2273082</v>
      </c>
      <c r="E111" s="401">
        <f>'[11]7.3.3.'!K827</f>
        <v>0</v>
      </c>
      <c r="F111" s="401">
        <f>'[11]7.3.3.'!L827</f>
        <v>0</v>
      </c>
      <c r="G111" s="401">
        <f>'[11]7.3.3.'!M827</f>
        <v>0</v>
      </c>
      <c r="H111" s="401">
        <f>'[11]7.3.3.'!N827</f>
        <v>2273082</v>
      </c>
      <c r="I111" s="401">
        <f>'[11]7.3.3.'!O827</f>
        <v>0</v>
      </c>
      <c r="J111" s="403"/>
      <c r="K111" s="403"/>
      <c r="L111" s="403"/>
      <c r="M111" s="403"/>
      <c r="N111" s="403"/>
      <c r="O111" s="403"/>
      <c r="P111" s="403"/>
      <c r="Q111" s="403"/>
      <c r="R111" s="403"/>
      <c r="S111" s="403"/>
      <c r="T111" s="403"/>
      <c r="U111" s="403"/>
      <c r="V111" s="403"/>
      <c r="W111" s="403"/>
      <c r="X111" s="403"/>
      <c r="Y111" s="403"/>
      <c r="Z111" s="403"/>
      <c r="AA111" s="403"/>
      <c r="AB111" s="403"/>
      <c r="AC111" s="403"/>
      <c r="AD111" s="403"/>
      <c r="AE111" s="403"/>
      <c r="AF111" s="403"/>
      <c r="AG111" s="403"/>
      <c r="AH111" s="403"/>
      <c r="AI111" s="403"/>
      <c r="AJ111" s="403"/>
      <c r="AK111" s="403"/>
      <c r="AL111" s="403"/>
      <c r="AM111" s="403"/>
      <c r="AN111" s="403"/>
      <c r="AO111" s="403"/>
      <c r="AP111" s="403"/>
      <c r="AQ111" s="403"/>
      <c r="AR111" s="403"/>
      <c r="AS111" s="403"/>
      <c r="AT111" s="403"/>
      <c r="AU111" s="403"/>
      <c r="AV111" s="403"/>
      <c r="AW111" s="403"/>
      <c r="AX111" s="403"/>
      <c r="AY111" s="403"/>
      <c r="AZ111" s="403"/>
      <c r="BA111" s="403"/>
      <c r="BB111" s="403"/>
      <c r="BC111" s="403"/>
      <c r="BD111" s="403"/>
      <c r="BE111" s="403"/>
      <c r="BF111" s="403"/>
      <c r="BG111" s="403"/>
      <c r="BH111" s="403"/>
      <c r="BI111" s="403"/>
      <c r="BJ111" s="403"/>
    </row>
    <row r="112" spans="1:62" s="409" customFormat="1" ht="15" customHeight="1" x14ac:dyDescent="0.2">
      <c r="A112" s="405">
        <f>A111+0.1</f>
        <v>34.200000000000003</v>
      </c>
      <c r="B112" s="406" t="s">
        <v>19</v>
      </c>
      <c r="C112" s="401">
        <f>'[11]7.3.3.'!I839</f>
        <v>2198486</v>
      </c>
      <c r="D112" s="401">
        <f>'[11]7.3.3.'!J839</f>
        <v>1089286</v>
      </c>
      <c r="E112" s="401">
        <f>'[11]7.3.3.'!K839</f>
        <v>1109200</v>
      </c>
      <c r="F112" s="401">
        <f>'[11]7.3.3.'!L839</f>
        <v>0</v>
      </c>
      <c r="G112" s="401">
        <f>'[11]7.3.3.'!M839</f>
        <v>0</v>
      </c>
      <c r="H112" s="401">
        <f>'[11]7.3.3.'!N839</f>
        <v>1089286</v>
      </c>
      <c r="I112" s="401">
        <f>'[11]7.3.3.'!O839</f>
        <v>1109200</v>
      </c>
      <c r="J112" s="408"/>
      <c r="K112" s="408"/>
      <c r="L112" s="408"/>
      <c r="M112" s="408"/>
      <c r="N112" s="408"/>
      <c r="O112" s="408"/>
      <c r="P112" s="408"/>
      <c r="Q112" s="408"/>
      <c r="R112" s="408"/>
      <c r="S112" s="408"/>
      <c r="T112" s="408"/>
      <c r="U112" s="408"/>
      <c r="V112" s="408"/>
      <c r="W112" s="408"/>
      <c r="X112" s="408"/>
      <c r="Y112" s="408"/>
      <c r="Z112" s="408"/>
      <c r="AA112" s="408"/>
      <c r="AB112" s="408"/>
      <c r="AC112" s="408"/>
      <c r="AD112" s="408"/>
      <c r="AE112" s="408"/>
      <c r="AF112" s="408"/>
      <c r="AG112" s="408"/>
      <c r="AH112" s="408"/>
      <c r="AI112" s="408"/>
      <c r="AJ112" s="408"/>
      <c r="AK112" s="408"/>
      <c r="AL112" s="408"/>
      <c r="AM112" s="408"/>
      <c r="AN112" s="408"/>
      <c r="AO112" s="408"/>
      <c r="AP112" s="408"/>
      <c r="AQ112" s="408"/>
      <c r="AR112" s="408"/>
      <c r="AS112" s="408"/>
      <c r="AT112" s="408"/>
      <c r="AU112" s="408"/>
      <c r="AV112" s="408"/>
      <c r="AW112" s="408"/>
      <c r="AX112" s="408"/>
      <c r="AY112" s="408"/>
      <c r="AZ112" s="408"/>
      <c r="BA112" s="408"/>
      <c r="BB112" s="408"/>
      <c r="BC112" s="408"/>
      <c r="BD112" s="408"/>
      <c r="BE112" s="408"/>
      <c r="BF112" s="408"/>
      <c r="BG112" s="408"/>
      <c r="BH112" s="408"/>
      <c r="BI112" s="408"/>
      <c r="BJ112" s="408"/>
    </row>
    <row r="113" spans="1:62" x14ac:dyDescent="0.25">
      <c r="A113" s="396">
        <f>A110+1</f>
        <v>35</v>
      </c>
      <c r="B113" s="397" t="s">
        <v>589</v>
      </c>
      <c r="C113" s="396">
        <f t="shared" ref="C113:I113" si="34">SUM(C114:C115)</f>
        <v>6655945</v>
      </c>
      <c r="D113" s="396">
        <f t="shared" si="34"/>
        <v>2416749</v>
      </c>
      <c r="E113" s="396">
        <f t="shared" si="34"/>
        <v>4239196</v>
      </c>
      <c r="F113" s="396">
        <f t="shared" si="34"/>
        <v>0</v>
      </c>
      <c r="G113" s="396">
        <f t="shared" si="34"/>
        <v>0</v>
      </c>
      <c r="H113" s="396">
        <f t="shared" si="34"/>
        <v>2416749</v>
      </c>
      <c r="I113" s="396">
        <f t="shared" si="34"/>
        <v>4239196</v>
      </c>
    </row>
    <row r="114" spans="1:62" s="404" customFormat="1" ht="15" customHeight="1" x14ac:dyDescent="0.2">
      <c r="A114" s="399">
        <f>A113+0.1</f>
        <v>35.1</v>
      </c>
      <c r="B114" s="400" t="s">
        <v>17</v>
      </c>
      <c r="C114" s="401">
        <f>'[11]7.3.3.'!I854</f>
        <v>2416749</v>
      </c>
      <c r="D114" s="401">
        <f>'[11]7.3.3.'!J854</f>
        <v>2416749</v>
      </c>
      <c r="E114" s="401">
        <f>'[11]7.3.3.'!K854</f>
        <v>0</v>
      </c>
      <c r="F114" s="401">
        <f>'[11]7.3.3.'!L854</f>
        <v>0</v>
      </c>
      <c r="G114" s="401">
        <f>'[11]7.3.3.'!M854</f>
        <v>0</v>
      </c>
      <c r="H114" s="401">
        <f>'[11]7.3.3.'!N854</f>
        <v>2416749</v>
      </c>
      <c r="I114" s="401">
        <f>'[11]7.3.3.'!O854</f>
        <v>0</v>
      </c>
      <c r="J114" s="403"/>
      <c r="K114" s="403"/>
      <c r="L114" s="403"/>
      <c r="M114" s="403"/>
      <c r="N114" s="403"/>
      <c r="O114" s="403"/>
      <c r="P114" s="403"/>
      <c r="Q114" s="403"/>
      <c r="R114" s="403"/>
      <c r="S114" s="403"/>
      <c r="T114" s="403"/>
      <c r="U114" s="403"/>
      <c r="V114" s="403"/>
      <c r="W114" s="403"/>
      <c r="X114" s="403"/>
      <c r="Y114" s="403"/>
      <c r="Z114" s="403"/>
      <c r="AA114" s="403"/>
      <c r="AB114" s="403"/>
      <c r="AC114" s="403"/>
      <c r="AD114" s="403"/>
      <c r="AE114" s="403"/>
      <c r="AF114" s="403"/>
      <c r="AG114" s="403"/>
      <c r="AH114" s="403"/>
      <c r="AI114" s="403"/>
      <c r="AJ114" s="403"/>
      <c r="AK114" s="403"/>
      <c r="AL114" s="403"/>
      <c r="AM114" s="403"/>
      <c r="AN114" s="403"/>
      <c r="AO114" s="403"/>
      <c r="AP114" s="403"/>
      <c r="AQ114" s="403"/>
      <c r="AR114" s="403"/>
      <c r="AS114" s="403"/>
      <c r="AT114" s="403"/>
      <c r="AU114" s="403"/>
      <c r="AV114" s="403"/>
      <c r="AW114" s="403"/>
      <c r="AX114" s="403"/>
      <c r="AY114" s="403"/>
      <c r="AZ114" s="403"/>
      <c r="BA114" s="403"/>
      <c r="BB114" s="403"/>
      <c r="BC114" s="403"/>
      <c r="BD114" s="403"/>
      <c r="BE114" s="403"/>
      <c r="BF114" s="403"/>
      <c r="BG114" s="403"/>
      <c r="BH114" s="403"/>
      <c r="BI114" s="403"/>
      <c r="BJ114" s="403"/>
    </row>
    <row r="115" spans="1:62" s="409" customFormat="1" ht="15" customHeight="1" x14ac:dyDescent="0.2">
      <c r="A115" s="405">
        <f>A114+0.1</f>
        <v>35.200000000000003</v>
      </c>
      <c r="B115" s="406" t="s">
        <v>19</v>
      </c>
      <c r="C115" s="401">
        <f>'[11]7.3.3.'!I862</f>
        <v>4239196</v>
      </c>
      <c r="D115" s="401">
        <f>'[11]7.3.3.'!J862</f>
        <v>0</v>
      </c>
      <c r="E115" s="401">
        <f>'[11]7.3.3.'!K862</f>
        <v>4239196</v>
      </c>
      <c r="F115" s="401">
        <f>'[11]7.3.3.'!L862</f>
        <v>0</v>
      </c>
      <c r="G115" s="401">
        <f>'[11]7.3.3.'!M862</f>
        <v>0</v>
      </c>
      <c r="H115" s="401">
        <f>'[11]7.3.3.'!N862</f>
        <v>0</v>
      </c>
      <c r="I115" s="401">
        <f>'[11]7.3.3.'!O862</f>
        <v>4239196</v>
      </c>
      <c r="J115" s="408"/>
      <c r="K115" s="408"/>
      <c r="L115" s="408"/>
      <c r="M115" s="408"/>
      <c r="N115" s="408"/>
      <c r="O115" s="408"/>
      <c r="P115" s="408"/>
      <c r="Q115" s="408"/>
      <c r="R115" s="408"/>
      <c r="S115" s="408"/>
      <c r="T115" s="408"/>
      <c r="U115" s="408"/>
      <c r="V115" s="408"/>
      <c r="W115" s="408"/>
      <c r="X115" s="408"/>
      <c r="Y115" s="408"/>
      <c r="Z115" s="408"/>
      <c r="AA115" s="408"/>
      <c r="AB115" s="408"/>
      <c r="AC115" s="408"/>
      <c r="AD115" s="408"/>
      <c r="AE115" s="408"/>
      <c r="AF115" s="408"/>
      <c r="AG115" s="408"/>
      <c r="AH115" s="408"/>
      <c r="AI115" s="408"/>
      <c r="AJ115" s="408"/>
      <c r="AK115" s="408"/>
      <c r="AL115" s="408"/>
      <c r="AM115" s="408"/>
      <c r="AN115" s="408"/>
      <c r="AO115" s="408"/>
      <c r="AP115" s="408"/>
      <c r="AQ115" s="408"/>
      <c r="AR115" s="408"/>
      <c r="AS115" s="408"/>
      <c r="AT115" s="408"/>
      <c r="AU115" s="408"/>
      <c r="AV115" s="408"/>
      <c r="AW115" s="408"/>
      <c r="AX115" s="408"/>
      <c r="AY115" s="408"/>
      <c r="AZ115" s="408"/>
      <c r="BA115" s="408"/>
      <c r="BB115" s="408"/>
      <c r="BC115" s="408"/>
      <c r="BD115" s="408"/>
      <c r="BE115" s="408"/>
      <c r="BF115" s="408"/>
      <c r="BG115" s="408"/>
      <c r="BH115" s="408"/>
      <c r="BI115" s="408"/>
      <c r="BJ115" s="408"/>
    </row>
    <row r="116" spans="1:62" x14ac:dyDescent="0.25">
      <c r="A116" s="396">
        <f>A113+1</f>
        <v>36</v>
      </c>
      <c r="B116" s="397" t="s">
        <v>590</v>
      </c>
      <c r="C116" s="396">
        <f t="shared" ref="C116:I116" si="35">SUM(C117:C118)</f>
        <v>5200879.25</v>
      </c>
      <c r="D116" s="396">
        <f t="shared" si="35"/>
        <v>115600</v>
      </c>
      <c r="E116" s="396">
        <f t="shared" si="35"/>
        <v>5085279.25</v>
      </c>
      <c r="F116" s="396">
        <f t="shared" si="35"/>
        <v>0</v>
      </c>
      <c r="G116" s="396">
        <f t="shared" si="35"/>
        <v>0</v>
      </c>
      <c r="H116" s="396">
        <f t="shared" si="35"/>
        <v>0</v>
      </c>
      <c r="I116" s="396">
        <f t="shared" si="35"/>
        <v>5200879.25</v>
      </c>
    </row>
    <row r="117" spans="1:62" s="404" customFormat="1" ht="15" customHeight="1" x14ac:dyDescent="0.2">
      <c r="A117" s="399">
        <f>A116+0.1</f>
        <v>36.1</v>
      </c>
      <c r="B117" s="400" t="s">
        <v>17</v>
      </c>
      <c r="C117" s="401">
        <f>'[11]7.3.3.'!I879</f>
        <v>1616921.25</v>
      </c>
      <c r="D117" s="401">
        <f>'[11]7.3.3.'!J879</f>
        <v>50000</v>
      </c>
      <c r="E117" s="401">
        <f>'[11]7.3.3.'!K879</f>
        <v>1566921.25</v>
      </c>
      <c r="F117" s="401">
        <f>'[11]7.3.3.'!L879</f>
        <v>0</v>
      </c>
      <c r="G117" s="401">
        <f>'[11]7.3.3.'!M879</f>
        <v>0</v>
      </c>
      <c r="H117" s="401">
        <f>'[11]7.3.3.'!N879</f>
        <v>0</v>
      </c>
      <c r="I117" s="401">
        <f>'[11]7.3.3.'!O879</f>
        <v>1616921.25</v>
      </c>
      <c r="J117" s="403"/>
      <c r="K117" s="403"/>
      <c r="L117" s="403"/>
      <c r="M117" s="403"/>
      <c r="N117" s="403"/>
      <c r="O117" s="403"/>
      <c r="P117" s="403"/>
      <c r="Q117" s="403"/>
      <c r="R117" s="403"/>
      <c r="S117" s="403"/>
      <c r="T117" s="403"/>
      <c r="U117" s="403"/>
      <c r="V117" s="403"/>
      <c r="W117" s="403"/>
      <c r="X117" s="403"/>
      <c r="Y117" s="403"/>
      <c r="Z117" s="403"/>
      <c r="AA117" s="403"/>
      <c r="AB117" s="403"/>
      <c r="AC117" s="403"/>
      <c r="AD117" s="403"/>
      <c r="AE117" s="403"/>
      <c r="AF117" s="403"/>
      <c r="AG117" s="403"/>
      <c r="AH117" s="403"/>
      <c r="AI117" s="403"/>
      <c r="AJ117" s="403"/>
      <c r="AK117" s="403"/>
      <c r="AL117" s="403"/>
      <c r="AM117" s="403"/>
      <c r="AN117" s="403"/>
      <c r="AO117" s="403"/>
      <c r="AP117" s="403"/>
      <c r="AQ117" s="403"/>
      <c r="AR117" s="403"/>
      <c r="AS117" s="403"/>
      <c r="AT117" s="403"/>
      <c r="AU117" s="403"/>
      <c r="AV117" s="403"/>
      <c r="AW117" s="403"/>
      <c r="AX117" s="403"/>
      <c r="AY117" s="403"/>
      <c r="AZ117" s="403"/>
      <c r="BA117" s="403"/>
      <c r="BB117" s="403"/>
      <c r="BC117" s="403"/>
      <c r="BD117" s="403"/>
      <c r="BE117" s="403"/>
      <c r="BF117" s="403"/>
      <c r="BG117" s="403"/>
      <c r="BH117" s="403"/>
      <c r="BI117" s="403"/>
      <c r="BJ117" s="403"/>
    </row>
    <row r="118" spans="1:62" s="409" customFormat="1" ht="15" customHeight="1" x14ac:dyDescent="0.2">
      <c r="A118" s="405">
        <f>A117+0.1</f>
        <v>36.200000000000003</v>
      </c>
      <c r="B118" s="406" t="s">
        <v>19</v>
      </c>
      <c r="C118" s="401">
        <f>'[11]7.3.3.'!I890</f>
        <v>3583958</v>
      </c>
      <c r="D118" s="401">
        <f>'[11]7.3.3.'!J890</f>
        <v>65600</v>
      </c>
      <c r="E118" s="401">
        <f>'[11]7.3.3.'!K890</f>
        <v>3518358</v>
      </c>
      <c r="F118" s="401">
        <f>'[11]7.3.3.'!L890</f>
        <v>0</v>
      </c>
      <c r="G118" s="401">
        <f>'[11]7.3.3.'!M890</f>
        <v>0</v>
      </c>
      <c r="H118" s="401">
        <f>'[11]7.3.3.'!N890</f>
        <v>0</v>
      </c>
      <c r="I118" s="401">
        <f>'[11]7.3.3.'!O890</f>
        <v>3583958</v>
      </c>
      <c r="J118" s="408"/>
      <c r="K118" s="408"/>
      <c r="L118" s="408"/>
      <c r="M118" s="408"/>
      <c r="N118" s="408"/>
      <c r="O118" s="408"/>
      <c r="P118" s="408"/>
      <c r="Q118" s="408"/>
      <c r="R118" s="408"/>
      <c r="S118" s="408"/>
      <c r="T118" s="408"/>
      <c r="U118" s="408"/>
      <c r="V118" s="408"/>
      <c r="W118" s="408"/>
      <c r="X118" s="408"/>
      <c r="Y118" s="408"/>
      <c r="Z118" s="408"/>
      <c r="AA118" s="408"/>
      <c r="AB118" s="408"/>
      <c r="AC118" s="408"/>
      <c r="AD118" s="408"/>
      <c r="AE118" s="408"/>
      <c r="AF118" s="408"/>
      <c r="AG118" s="408"/>
      <c r="AH118" s="408"/>
      <c r="AI118" s="408"/>
      <c r="AJ118" s="408"/>
      <c r="AK118" s="408"/>
      <c r="AL118" s="408"/>
      <c r="AM118" s="408"/>
      <c r="AN118" s="408"/>
      <c r="AO118" s="408"/>
      <c r="AP118" s="408"/>
      <c r="AQ118" s="408"/>
      <c r="AR118" s="408"/>
      <c r="AS118" s="408"/>
      <c r="AT118" s="408"/>
      <c r="AU118" s="408"/>
      <c r="AV118" s="408"/>
      <c r="AW118" s="408"/>
      <c r="AX118" s="408"/>
      <c r="AY118" s="408"/>
      <c r="AZ118" s="408"/>
      <c r="BA118" s="408"/>
      <c r="BB118" s="408"/>
      <c r="BC118" s="408"/>
      <c r="BD118" s="408"/>
      <c r="BE118" s="408"/>
      <c r="BF118" s="408"/>
      <c r="BG118" s="408"/>
      <c r="BH118" s="408"/>
      <c r="BI118" s="408"/>
      <c r="BJ118" s="408"/>
    </row>
    <row r="119" spans="1:62" x14ac:dyDescent="0.25">
      <c r="A119" s="396">
        <f>A116+1</f>
        <v>37</v>
      </c>
      <c r="B119" s="397" t="s">
        <v>591</v>
      </c>
      <c r="C119" s="396">
        <f t="shared" ref="C119:I119" si="36">SUM(C120:C121)</f>
        <v>13229201</v>
      </c>
      <c r="D119" s="396">
        <f t="shared" si="36"/>
        <v>8779557</v>
      </c>
      <c r="E119" s="396">
        <f t="shared" si="36"/>
        <v>4449644</v>
      </c>
      <c r="F119" s="396">
        <f t="shared" si="36"/>
        <v>0</v>
      </c>
      <c r="G119" s="396">
        <f t="shared" si="36"/>
        <v>0</v>
      </c>
      <c r="H119" s="396">
        <f t="shared" si="36"/>
        <v>8779557</v>
      </c>
      <c r="I119" s="396">
        <f t="shared" si="36"/>
        <v>4449644</v>
      </c>
    </row>
    <row r="120" spans="1:62" s="404" customFormat="1" ht="15" customHeight="1" x14ac:dyDescent="0.2">
      <c r="A120" s="399">
        <f>A119+0.1</f>
        <v>37.1</v>
      </c>
      <c r="B120" s="400" t="s">
        <v>17</v>
      </c>
      <c r="C120" s="401">
        <f>'[11]7.3.3.'!I905</f>
        <v>3804140</v>
      </c>
      <c r="D120" s="401">
        <f>'[11]7.3.3.'!J905</f>
        <v>3804140</v>
      </c>
      <c r="E120" s="401">
        <f>'[11]7.3.3.'!K905</f>
        <v>0</v>
      </c>
      <c r="F120" s="401">
        <f>'[11]7.3.3.'!L905</f>
        <v>0</v>
      </c>
      <c r="G120" s="401">
        <f>'[11]7.3.3.'!M905</f>
        <v>0</v>
      </c>
      <c r="H120" s="401">
        <f>'[11]7.3.3.'!N905</f>
        <v>3804140</v>
      </c>
      <c r="I120" s="401">
        <f>'[11]7.3.3.'!O905</f>
        <v>0</v>
      </c>
      <c r="J120" s="403"/>
      <c r="K120" s="403"/>
      <c r="L120" s="403"/>
      <c r="M120" s="403"/>
      <c r="N120" s="403"/>
      <c r="O120" s="403"/>
      <c r="P120" s="403"/>
      <c r="Q120" s="403"/>
      <c r="R120" s="403"/>
      <c r="S120" s="403"/>
      <c r="T120" s="403"/>
      <c r="U120" s="403"/>
      <c r="V120" s="403"/>
      <c r="W120" s="403"/>
      <c r="X120" s="403"/>
      <c r="Y120" s="403"/>
      <c r="Z120" s="403"/>
      <c r="AA120" s="403"/>
      <c r="AB120" s="403"/>
      <c r="AC120" s="403"/>
      <c r="AD120" s="403"/>
      <c r="AE120" s="403"/>
      <c r="AF120" s="403"/>
      <c r="AG120" s="403"/>
      <c r="AH120" s="403"/>
      <c r="AI120" s="403"/>
      <c r="AJ120" s="403"/>
      <c r="AK120" s="403"/>
      <c r="AL120" s="403"/>
      <c r="AM120" s="403"/>
      <c r="AN120" s="403"/>
      <c r="AO120" s="403"/>
      <c r="AP120" s="403"/>
      <c r="AQ120" s="403"/>
      <c r="AR120" s="403"/>
      <c r="AS120" s="403"/>
      <c r="AT120" s="403"/>
      <c r="AU120" s="403"/>
      <c r="AV120" s="403"/>
      <c r="AW120" s="403"/>
      <c r="AX120" s="403"/>
      <c r="AY120" s="403"/>
      <c r="AZ120" s="403"/>
      <c r="BA120" s="403"/>
      <c r="BB120" s="403"/>
      <c r="BC120" s="403"/>
      <c r="BD120" s="403"/>
      <c r="BE120" s="403"/>
      <c r="BF120" s="403"/>
      <c r="BG120" s="403"/>
      <c r="BH120" s="403"/>
      <c r="BI120" s="403"/>
      <c r="BJ120" s="403"/>
    </row>
    <row r="121" spans="1:62" s="409" customFormat="1" ht="15" customHeight="1" x14ac:dyDescent="0.2">
      <c r="A121" s="405">
        <f>A120+0.1</f>
        <v>37.200000000000003</v>
      </c>
      <c r="B121" s="406" t="s">
        <v>19</v>
      </c>
      <c r="C121" s="401">
        <f>'[11]7.3.3.'!I924</f>
        <v>9425061</v>
      </c>
      <c r="D121" s="401">
        <f>'[11]7.3.3.'!J924</f>
        <v>4975417</v>
      </c>
      <c r="E121" s="401">
        <f>'[11]7.3.3.'!K924</f>
        <v>4449644</v>
      </c>
      <c r="F121" s="401">
        <f>'[11]7.3.3.'!L924</f>
        <v>0</v>
      </c>
      <c r="G121" s="401">
        <f>'[11]7.3.3.'!M924</f>
        <v>0</v>
      </c>
      <c r="H121" s="401">
        <f>'[11]7.3.3.'!N924</f>
        <v>4975417</v>
      </c>
      <c r="I121" s="401">
        <f>'[11]7.3.3.'!O924</f>
        <v>4449644</v>
      </c>
      <c r="J121" s="408"/>
      <c r="K121" s="408"/>
      <c r="L121" s="408"/>
      <c r="M121" s="408"/>
      <c r="N121" s="408"/>
      <c r="O121" s="408"/>
      <c r="P121" s="408"/>
      <c r="Q121" s="408"/>
      <c r="R121" s="408"/>
      <c r="S121" s="408"/>
      <c r="T121" s="408"/>
      <c r="U121" s="408"/>
      <c r="V121" s="408"/>
      <c r="W121" s="408"/>
      <c r="X121" s="408"/>
      <c r="Y121" s="408"/>
      <c r="Z121" s="408"/>
      <c r="AA121" s="408"/>
      <c r="AB121" s="408"/>
      <c r="AC121" s="408"/>
      <c r="AD121" s="408"/>
      <c r="AE121" s="408"/>
      <c r="AF121" s="408"/>
      <c r="AG121" s="408"/>
      <c r="AH121" s="408"/>
      <c r="AI121" s="408"/>
      <c r="AJ121" s="408"/>
      <c r="AK121" s="408"/>
      <c r="AL121" s="408"/>
      <c r="AM121" s="408"/>
      <c r="AN121" s="408"/>
      <c r="AO121" s="408"/>
      <c r="AP121" s="408"/>
      <c r="AQ121" s="408"/>
      <c r="AR121" s="408"/>
      <c r="AS121" s="408"/>
      <c r="AT121" s="408"/>
      <c r="AU121" s="408"/>
      <c r="AV121" s="408"/>
      <c r="AW121" s="408"/>
      <c r="AX121" s="408"/>
      <c r="AY121" s="408"/>
      <c r="AZ121" s="408"/>
      <c r="BA121" s="408"/>
      <c r="BB121" s="408"/>
      <c r="BC121" s="408"/>
      <c r="BD121" s="408"/>
      <c r="BE121" s="408"/>
      <c r="BF121" s="408"/>
      <c r="BG121" s="408"/>
      <c r="BH121" s="408"/>
      <c r="BI121" s="408"/>
      <c r="BJ121" s="408"/>
    </row>
    <row r="122" spans="1:62" x14ac:dyDescent="0.25">
      <c r="A122" s="396">
        <f>A119+1</f>
        <v>38</v>
      </c>
      <c r="B122" s="397" t="s">
        <v>592</v>
      </c>
      <c r="C122" s="396">
        <f t="shared" ref="C122:I122" si="37">SUM(C123:C124)</f>
        <v>6067599</v>
      </c>
      <c r="D122" s="396">
        <f t="shared" si="37"/>
        <v>627983</v>
      </c>
      <c r="E122" s="396">
        <f t="shared" si="37"/>
        <v>5439616</v>
      </c>
      <c r="F122" s="396">
        <f t="shared" si="37"/>
        <v>0</v>
      </c>
      <c r="G122" s="396">
        <f t="shared" si="37"/>
        <v>0</v>
      </c>
      <c r="H122" s="396">
        <f t="shared" si="37"/>
        <v>627983</v>
      </c>
      <c r="I122" s="396">
        <f t="shared" si="37"/>
        <v>5439616</v>
      </c>
    </row>
    <row r="123" spans="1:62" s="404" customFormat="1" ht="15" customHeight="1" x14ac:dyDescent="0.2">
      <c r="A123" s="399">
        <f>A122+0.1</f>
        <v>38.1</v>
      </c>
      <c r="B123" s="400" t="s">
        <v>17</v>
      </c>
      <c r="C123" s="401">
        <f>'[11]7.3.3.'!I947</f>
        <v>0</v>
      </c>
      <c r="D123" s="401">
        <f>'[11]7.3.3.'!J947</f>
        <v>0</v>
      </c>
      <c r="E123" s="401">
        <f>'[11]7.3.3.'!K947</f>
        <v>0</v>
      </c>
      <c r="F123" s="401">
        <f>'[11]7.3.3.'!L947</f>
        <v>0</v>
      </c>
      <c r="G123" s="401">
        <f>'[11]7.3.3.'!M947</f>
        <v>0</v>
      </c>
      <c r="H123" s="401">
        <f>'[11]7.3.3.'!N947</f>
        <v>0</v>
      </c>
      <c r="I123" s="401">
        <f>'[11]7.3.3.'!O947</f>
        <v>0</v>
      </c>
      <c r="J123" s="403"/>
      <c r="K123" s="403"/>
      <c r="L123" s="403"/>
      <c r="M123" s="403"/>
      <c r="N123" s="403"/>
      <c r="O123" s="403"/>
      <c r="P123" s="403"/>
      <c r="Q123" s="403"/>
      <c r="R123" s="403"/>
      <c r="S123" s="403"/>
      <c r="T123" s="403"/>
      <c r="U123" s="403"/>
      <c r="V123" s="403"/>
      <c r="W123" s="403"/>
      <c r="X123" s="403"/>
      <c r="Y123" s="403"/>
      <c r="Z123" s="403"/>
      <c r="AA123" s="403"/>
      <c r="AB123" s="403"/>
      <c r="AC123" s="403"/>
      <c r="AD123" s="403"/>
      <c r="AE123" s="403"/>
      <c r="AF123" s="403"/>
      <c r="AG123" s="403"/>
      <c r="AH123" s="403"/>
      <c r="AI123" s="403"/>
      <c r="AJ123" s="403"/>
      <c r="AK123" s="403"/>
      <c r="AL123" s="403"/>
      <c r="AM123" s="403"/>
      <c r="AN123" s="403"/>
      <c r="AO123" s="403"/>
      <c r="AP123" s="403"/>
      <c r="AQ123" s="403"/>
      <c r="AR123" s="403"/>
      <c r="AS123" s="403"/>
      <c r="AT123" s="403"/>
      <c r="AU123" s="403"/>
      <c r="AV123" s="403"/>
      <c r="AW123" s="403"/>
      <c r="AX123" s="403"/>
      <c r="AY123" s="403"/>
      <c r="AZ123" s="403"/>
      <c r="BA123" s="403"/>
      <c r="BB123" s="403"/>
      <c r="BC123" s="403"/>
      <c r="BD123" s="403"/>
      <c r="BE123" s="403"/>
      <c r="BF123" s="403"/>
      <c r="BG123" s="403"/>
      <c r="BH123" s="403"/>
      <c r="BI123" s="403"/>
      <c r="BJ123" s="403"/>
    </row>
    <row r="124" spans="1:62" s="409" customFormat="1" ht="15" customHeight="1" x14ac:dyDescent="0.2">
      <c r="A124" s="405">
        <f>A123+0.1</f>
        <v>38.200000000000003</v>
      </c>
      <c r="B124" s="406" t="s">
        <v>19</v>
      </c>
      <c r="C124" s="401">
        <f>'[11]7.3.3.'!I949</f>
        <v>6067599</v>
      </c>
      <c r="D124" s="401">
        <f>'[11]7.3.3.'!J949</f>
        <v>627983</v>
      </c>
      <c r="E124" s="401">
        <f>'[11]7.3.3.'!K949</f>
        <v>5439616</v>
      </c>
      <c r="F124" s="401">
        <f>'[11]7.3.3.'!L949</f>
        <v>0</v>
      </c>
      <c r="G124" s="401">
        <f>'[11]7.3.3.'!M949</f>
        <v>0</v>
      </c>
      <c r="H124" s="401">
        <f>'[11]7.3.3.'!N949</f>
        <v>627983</v>
      </c>
      <c r="I124" s="401">
        <f>'[11]7.3.3.'!O949</f>
        <v>5439616</v>
      </c>
      <c r="J124" s="408"/>
      <c r="K124" s="408"/>
      <c r="L124" s="408"/>
      <c r="M124" s="408"/>
      <c r="N124" s="408"/>
      <c r="O124" s="408"/>
      <c r="P124" s="408"/>
      <c r="Q124" s="408"/>
      <c r="R124" s="408"/>
      <c r="S124" s="408"/>
      <c r="T124" s="408"/>
      <c r="U124" s="408"/>
      <c r="V124" s="408"/>
      <c r="W124" s="408"/>
      <c r="X124" s="408"/>
      <c r="Y124" s="408"/>
      <c r="Z124" s="408"/>
      <c r="AA124" s="408"/>
      <c r="AB124" s="408"/>
      <c r="AC124" s="408"/>
      <c r="AD124" s="408"/>
      <c r="AE124" s="408"/>
      <c r="AF124" s="408"/>
      <c r="AG124" s="408"/>
      <c r="AH124" s="408"/>
      <c r="AI124" s="408"/>
      <c r="AJ124" s="408"/>
      <c r="AK124" s="408"/>
      <c r="AL124" s="408"/>
      <c r="AM124" s="408"/>
      <c r="AN124" s="408"/>
      <c r="AO124" s="408"/>
      <c r="AP124" s="408"/>
      <c r="AQ124" s="408"/>
      <c r="AR124" s="408"/>
      <c r="AS124" s="408"/>
      <c r="AT124" s="408"/>
      <c r="AU124" s="408"/>
      <c r="AV124" s="408"/>
      <c r="AW124" s="408"/>
      <c r="AX124" s="408"/>
      <c r="AY124" s="408"/>
      <c r="AZ124" s="408"/>
      <c r="BA124" s="408"/>
      <c r="BB124" s="408"/>
      <c r="BC124" s="408"/>
      <c r="BD124" s="408"/>
      <c r="BE124" s="408"/>
      <c r="BF124" s="408"/>
      <c r="BG124" s="408"/>
      <c r="BH124" s="408"/>
      <c r="BI124" s="408"/>
      <c r="BJ124" s="408"/>
    </row>
    <row r="125" spans="1:62" x14ac:dyDescent="0.25">
      <c r="A125" s="396">
        <f>A122+1</f>
        <v>39</v>
      </c>
      <c r="B125" s="397" t="s">
        <v>593</v>
      </c>
      <c r="C125" s="396">
        <f t="shared" ref="C125:I125" si="38">SUM(C126:C127)</f>
        <v>4925848</v>
      </c>
      <c r="D125" s="396">
        <f t="shared" si="38"/>
        <v>2256119</v>
      </c>
      <c r="E125" s="396">
        <f t="shared" si="38"/>
        <v>2669729</v>
      </c>
      <c r="F125" s="396">
        <f t="shared" si="38"/>
        <v>0</v>
      </c>
      <c r="G125" s="396">
        <f t="shared" si="38"/>
        <v>0</v>
      </c>
      <c r="H125" s="396">
        <f t="shared" si="38"/>
        <v>2256119</v>
      </c>
      <c r="I125" s="396">
        <f t="shared" si="38"/>
        <v>2669729</v>
      </c>
    </row>
    <row r="126" spans="1:62" s="404" customFormat="1" ht="15" customHeight="1" x14ac:dyDescent="0.2">
      <c r="A126" s="399">
        <f>A125+0.1</f>
        <v>39.1</v>
      </c>
      <c r="B126" s="400" t="s">
        <v>17</v>
      </c>
      <c r="C126" s="401">
        <f>'[11]7.3.3.'!I963</f>
        <v>1434940</v>
      </c>
      <c r="D126" s="401">
        <f>'[11]7.3.3.'!J963</f>
        <v>593940</v>
      </c>
      <c r="E126" s="401">
        <f>'[11]7.3.3.'!K963</f>
        <v>841000</v>
      </c>
      <c r="F126" s="401">
        <f>'[11]7.3.3.'!L963</f>
        <v>0</v>
      </c>
      <c r="G126" s="401">
        <f>'[11]7.3.3.'!M963</f>
        <v>0</v>
      </c>
      <c r="H126" s="401">
        <f>'[11]7.3.3.'!N963</f>
        <v>593940</v>
      </c>
      <c r="I126" s="401">
        <f>'[11]7.3.3.'!O963</f>
        <v>841000</v>
      </c>
      <c r="J126" s="403"/>
      <c r="K126" s="403"/>
      <c r="L126" s="403"/>
      <c r="M126" s="403"/>
      <c r="N126" s="403"/>
      <c r="O126" s="403"/>
      <c r="P126" s="403"/>
      <c r="Q126" s="403"/>
      <c r="R126" s="403"/>
      <c r="S126" s="403"/>
      <c r="T126" s="403"/>
      <c r="U126" s="403"/>
      <c r="V126" s="403"/>
      <c r="W126" s="403"/>
      <c r="X126" s="403"/>
      <c r="Y126" s="403"/>
      <c r="Z126" s="403"/>
      <c r="AA126" s="403"/>
      <c r="AB126" s="403"/>
      <c r="AC126" s="403"/>
      <c r="AD126" s="403"/>
      <c r="AE126" s="403"/>
      <c r="AF126" s="403"/>
      <c r="AG126" s="403"/>
      <c r="AH126" s="403"/>
      <c r="AI126" s="403"/>
      <c r="AJ126" s="403"/>
      <c r="AK126" s="403"/>
      <c r="AL126" s="403"/>
      <c r="AM126" s="403"/>
      <c r="AN126" s="403"/>
      <c r="AO126" s="403"/>
      <c r="AP126" s="403"/>
      <c r="AQ126" s="403"/>
      <c r="AR126" s="403"/>
      <c r="AS126" s="403"/>
      <c r="AT126" s="403"/>
      <c r="AU126" s="403"/>
      <c r="AV126" s="403"/>
      <c r="AW126" s="403"/>
      <c r="AX126" s="403"/>
      <c r="AY126" s="403"/>
      <c r="AZ126" s="403"/>
      <c r="BA126" s="403"/>
      <c r="BB126" s="403"/>
      <c r="BC126" s="403"/>
      <c r="BD126" s="403"/>
      <c r="BE126" s="403"/>
      <c r="BF126" s="403"/>
      <c r="BG126" s="403"/>
      <c r="BH126" s="403"/>
      <c r="BI126" s="403"/>
      <c r="BJ126" s="403"/>
    </row>
    <row r="127" spans="1:62" s="409" customFormat="1" ht="15" customHeight="1" x14ac:dyDescent="0.2">
      <c r="A127" s="405">
        <f>A126+0.1</f>
        <v>39.200000000000003</v>
      </c>
      <c r="B127" s="406" t="s">
        <v>19</v>
      </c>
      <c r="C127" s="401">
        <f>'[11]7.3.3.'!I971</f>
        <v>3490908</v>
      </c>
      <c r="D127" s="401">
        <f>'[11]7.3.3.'!J971</f>
        <v>1662179</v>
      </c>
      <c r="E127" s="401">
        <f>'[11]7.3.3.'!K971</f>
        <v>1828729</v>
      </c>
      <c r="F127" s="401">
        <f>'[11]7.3.3.'!L971</f>
        <v>0</v>
      </c>
      <c r="G127" s="401">
        <f>'[11]7.3.3.'!M971</f>
        <v>0</v>
      </c>
      <c r="H127" s="401">
        <f>'[11]7.3.3.'!N971</f>
        <v>1662179</v>
      </c>
      <c r="I127" s="401">
        <f>'[11]7.3.3.'!O971</f>
        <v>1828729</v>
      </c>
      <c r="J127" s="408"/>
      <c r="K127" s="408"/>
      <c r="L127" s="408"/>
      <c r="M127" s="408"/>
      <c r="N127" s="408"/>
      <c r="O127" s="408"/>
      <c r="P127" s="408"/>
      <c r="Q127" s="408"/>
      <c r="R127" s="408"/>
      <c r="S127" s="408"/>
      <c r="T127" s="408"/>
      <c r="U127" s="408"/>
      <c r="V127" s="408"/>
      <c r="W127" s="408"/>
      <c r="X127" s="408"/>
      <c r="Y127" s="408"/>
      <c r="Z127" s="408"/>
      <c r="AA127" s="408"/>
      <c r="AB127" s="408"/>
      <c r="AC127" s="408"/>
      <c r="AD127" s="408"/>
      <c r="AE127" s="408"/>
      <c r="AF127" s="408"/>
      <c r="AG127" s="408"/>
      <c r="AH127" s="408"/>
      <c r="AI127" s="408"/>
      <c r="AJ127" s="408"/>
      <c r="AK127" s="408"/>
      <c r="AL127" s="408"/>
      <c r="AM127" s="408"/>
      <c r="AN127" s="408"/>
      <c r="AO127" s="408"/>
      <c r="AP127" s="408"/>
      <c r="AQ127" s="408"/>
      <c r="AR127" s="408"/>
      <c r="AS127" s="408"/>
      <c r="AT127" s="408"/>
      <c r="AU127" s="408"/>
      <c r="AV127" s="408"/>
      <c r="AW127" s="408"/>
      <c r="AX127" s="408"/>
      <c r="AY127" s="408"/>
      <c r="AZ127" s="408"/>
      <c r="BA127" s="408"/>
      <c r="BB127" s="408"/>
      <c r="BC127" s="408"/>
      <c r="BD127" s="408"/>
      <c r="BE127" s="408"/>
      <c r="BF127" s="408"/>
      <c r="BG127" s="408"/>
      <c r="BH127" s="408"/>
      <c r="BI127" s="408"/>
      <c r="BJ127" s="408"/>
    </row>
    <row r="128" spans="1:62" x14ac:dyDescent="0.25">
      <c r="A128" s="396">
        <f>A125+1</f>
        <v>40</v>
      </c>
      <c r="B128" s="397" t="s">
        <v>594</v>
      </c>
      <c r="C128" s="396">
        <f t="shared" ref="C128:I128" si="39">SUM(C129:C130)</f>
        <v>4407965</v>
      </c>
      <c r="D128" s="396">
        <f t="shared" si="39"/>
        <v>0</v>
      </c>
      <c r="E128" s="396">
        <f t="shared" si="39"/>
        <v>4407965</v>
      </c>
      <c r="F128" s="396">
        <f t="shared" si="39"/>
        <v>0</v>
      </c>
      <c r="G128" s="396">
        <f t="shared" si="39"/>
        <v>0</v>
      </c>
      <c r="H128" s="396">
        <f t="shared" si="39"/>
        <v>0</v>
      </c>
      <c r="I128" s="396">
        <f t="shared" si="39"/>
        <v>4407965</v>
      </c>
    </row>
    <row r="129" spans="1:62" s="404" customFormat="1" ht="15" customHeight="1" x14ac:dyDescent="0.2">
      <c r="A129" s="399">
        <f>A128+0.1</f>
        <v>40.1</v>
      </c>
      <c r="B129" s="400" t="s">
        <v>17</v>
      </c>
      <c r="C129" s="401">
        <f>'[11]7.3.3.'!I989</f>
        <v>0</v>
      </c>
      <c r="D129" s="401">
        <f>'[11]7.3.3.'!J989</f>
        <v>0</v>
      </c>
      <c r="E129" s="401">
        <f>'[11]7.3.3.'!K989</f>
        <v>0</v>
      </c>
      <c r="F129" s="401">
        <f>'[11]7.3.3.'!L989</f>
        <v>0</v>
      </c>
      <c r="G129" s="401">
        <f>'[11]7.3.3.'!M989</f>
        <v>0</v>
      </c>
      <c r="H129" s="401">
        <f>'[11]7.3.3.'!N989</f>
        <v>0</v>
      </c>
      <c r="I129" s="401">
        <f>'[11]7.3.3.'!O989</f>
        <v>0</v>
      </c>
      <c r="J129" s="403"/>
      <c r="K129" s="403"/>
      <c r="L129" s="403"/>
      <c r="M129" s="403"/>
      <c r="N129" s="403"/>
      <c r="O129" s="403"/>
      <c r="P129" s="403"/>
      <c r="Q129" s="403"/>
      <c r="R129" s="403"/>
      <c r="S129" s="403"/>
      <c r="T129" s="403"/>
      <c r="U129" s="403"/>
      <c r="V129" s="403"/>
      <c r="W129" s="403"/>
      <c r="X129" s="403"/>
      <c r="Y129" s="403"/>
      <c r="Z129" s="403"/>
      <c r="AA129" s="403"/>
      <c r="AB129" s="403"/>
      <c r="AC129" s="403"/>
      <c r="AD129" s="403"/>
      <c r="AE129" s="403"/>
      <c r="AF129" s="403"/>
      <c r="AG129" s="403"/>
      <c r="AH129" s="403"/>
      <c r="AI129" s="403"/>
      <c r="AJ129" s="403"/>
      <c r="AK129" s="403"/>
      <c r="AL129" s="403"/>
      <c r="AM129" s="403"/>
      <c r="AN129" s="403"/>
      <c r="AO129" s="403"/>
      <c r="AP129" s="403"/>
      <c r="AQ129" s="403"/>
      <c r="AR129" s="403"/>
      <c r="AS129" s="403"/>
      <c r="AT129" s="403"/>
      <c r="AU129" s="403"/>
      <c r="AV129" s="403"/>
      <c r="AW129" s="403"/>
      <c r="AX129" s="403"/>
      <c r="AY129" s="403"/>
      <c r="AZ129" s="403"/>
      <c r="BA129" s="403"/>
      <c r="BB129" s="403"/>
      <c r="BC129" s="403"/>
      <c r="BD129" s="403"/>
      <c r="BE129" s="403"/>
      <c r="BF129" s="403"/>
      <c r="BG129" s="403"/>
      <c r="BH129" s="403"/>
      <c r="BI129" s="403"/>
      <c r="BJ129" s="403"/>
    </row>
    <row r="130" spans="1:62" s="409" customFormat="1" ht="15" customHeight="1" x14ac:dyDescent="0.2">
      <c r="A130" s="405">
        <f>A129+0.1</f>
        <v>40.200000000000003</v>
      </c>
      <c r="B130" s="406" t="s">
        <v>19</v>
      </c>
      <c r="C130" s="401">
        <f>'[11]7.3.3.'!I991</f>
        <v>4407965</v>
      </c>
      <c r="D130" s="401">
        <f>'[11]7.3.3.'!J991</f>
        <v>0</v>
      </c>
      <c r="E130" s="401">
        <f>'[11]7.3.3.'!K991</f>
        <v>4407965</v>
      </c>
      <c r="F130" s="401">
        <f>'[11]7.3.3.'!L991</f>
        <v>0</v>
      </c>
      <c r="G130" s="401">
        <f>'[11]7.3.3.'!M991</f>
        <v>0</v>
      </c>
      <c r="H130" s="401">
        <f>'[11]7.3.3.'!N991</f>
        <v>0</v>
      </c>
      <c r="I130" s="401">
        <f>'[11]7.3.3.'!O991</f>
        <v>4407965</v>
      </c>
      <c r="J130" s="408"/>
      <c r="K130" s="408"/>
      <c r="L130" s="408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8"/>
      <c r="AB130" s="408"/>
      <c r="AC130" s="408"/>
      <c r="AD130" s="408"/>
      <c r="AE130" s="408"/>
      <c r="AF130" s="408"/>
      <c r="AG130" s="408"/>
      <c r="AH130" s="408"/>
      <c r="AI130" s="408"/>
      <c r="AJ130" s="408"/>
      <c r="AK130" s="408"/>
      <c r="AL130" s="408"/>
      <c r="AM130" s="408"/>
      <c r="AN130" s="408"/>
      <c r="AO130" s="408"/>
      <c r="AP130" s="408"/>
      <c r="AQ130" s="408"/>
      <c r="AR130" s="408"/>
      <c r="AS130" s="408"/>
      <c r="AT130" s="408"/>
      <c r="AU130" s="408"/>
      <c r="AV130" s="408"/>
      <c r="AW130" s="408"/>
      <c r="AX130" s="408"/>
      <c r="AY130" s="408"/>
      <c r="AZ130" s="408"/>
      <c r="BA130" s="408"/>
      <c r="BB130" s="408"/>
      <c r="BC130" s="408"/>
      <c r="BD130" s="408"/>
      <c r="BE130" s="408"/>
      <c r="BF130" s="408"/>
      <c r="BG130" s="408"/>
      <c r="BH130" s="408"/>
      <c r="BI130" s="408"/>
      <c r="BJ130" s="408"/>
    </row>
    <row r="131" spans="1:62" x14ac:dyDescent="0.25">
      <c r="A131" s="396">
        <f>A128+1</f>
        <v>41</v>
      </c>
      <c r="B131" s="397" t="s">
        <v>595</v>
      </c>
      <c r="C131" s="396">
        <f t="shared" ref="C131:I131" si="40">SUM(C132:C133)</f>
        <v>2585822</v>
      </c>
      <c r="D131" s="396">
        <f t="shared" si="40"/>
        <v>900506</v>
      </c>
      <c r="E131" s="396">
        <f t="shared" si="40"/>
        <v>1685316</v>
      </c>
      <c r="F131" s="396">
        <f t="shared" si="40"/>
        <v>0</v>
      </c>
      <c r="G131" s="396">
        <f t="shared" si="40"/>
        <v>0</v>
      </c>
      <c r="H131" s="396">
        <f t="shared" si="40"/>
        <v>900506</v>
      </c>
      <c r="I131" s="396">
        <f t="shared" si="40"/>
        <v>1685316</v>
      </c>
    </row>
    <row r="132" spans="1:62" s="404" customFormat="1" ht="15" customHeight="1" x14ac:dyDescent="0.2">
      <c r="A132" s="399">
        <f>A131+0.1</f>
        <v>41.1</v>
      </c>
      <c r="B132" s="400" t="s">
        <v>17</v>
      </c>
      <c r="C132" s="401">
        <f>'[11]7.3.3.'!I1006</f>
        <v>900506</v>
      </c>
      <c r="D132" s="401">
        <f>'[11]7.3.3.'!J1006</f>
        <v>900506</v>
      </c>
      <c r="E132" s="401">
        <f>'[11]7.3.3.'!K1006</f>
        <v>0</v>
      </c>
      <c r="F132" s="401">
        <f>'[11]7.3.3.'!L1006</f>
        <v>0</v>
      </c>
      <c r="G132" s="401">
        <f>'[11]7.3.3.'!M1006</f>
        <v>0</v>
      </c>
      <c r="H132" s="401">
        <f>'[11]7.3.3.'!N1006</f>
        <v>900506</v>
      </c>
      <c r="I132" s="401">
        <f>'[11]7.3.3.'!O1006</f>
        <v>0</v>
      </c>
      <c r="J132" s="403"/>
      <c r="K132" s="403"/>
      <c r="L132" s="403"/>
      <c r="M132" s="403"/>
      <c r="N132" s="403"/>
      <c r="O132" s="403"/>
      <c r="P132" s="403"/>
      <c r="Q132" s="403"/>
      <c r="R132" s="403"/>
      <c r="S132" s="403"/>
      <c r="T132" s="403"/>
      <c r="U132" s="403"/>
      <c r="V132" s="403"/>
      <c r="W132" s="403"/>
      <c r="X132" s="403"/>
      <c r="Y132" s="403"/>
      <c r="Z132" s="403"/>
      <c r="AA132" s="403"/>
      <c r="AB132" s="403"/>
      <c r="AC132" s="403"/>
      <c r="AD132" s="403"/>
      <c r="AE132" s="403"/>
      <c r="AF132" s="403"/>
      <c r="AG132" s="403"/>
      <c r="AH132" s="403"/>
      <c r="AI132" s="403"/>
      <c r="AJ132" s="403"/>
      <c r="AK132" s="403"/>
      <c r="AL132" s="403"/>
      <c r="AM132" s="403"/>
      <c r="AN132" s="403"/>
      <c r="AO132" s="403"/>
      <c r="AP132" s="403"/>
      <c r="AQ132" s="403"/>
      <c r="AR132" s="403"/>
      <c r="AS132" s="403"/>
      <c r="AT132" s="403"/>
      <c r="AU132" s="403"/>
      <c r="AV132" s="403"/>
      <c r="AW132" s="403"/>
      <c r="AX132" s="403"/>
      <c r="AY132" s="403"/>
      <c r="AZ132" s="403"/>
      <c r="BA132" s="403"/>
      <c r="BB132" s="403"/>
      <c r="BC132" s="403"/>
      <c r="BD132" s="403"/>
      <c r="BE132" s="403"/>
      <c r="BF132" s="403"/>
      <c r="BG132" s="403"/>
      <c r="BH132" s="403"/>
      <c r="BI132" s="403"/>
      <c r="BJ132" s="403"/>
    </row>
    <row r="133" spans="1:62" s="409" customFormat="1" ht="15" customHeight="1" x14ac:dyDescent="0.2">
      <c r="A133" s="405">
        <f>A132+0.1</f>
        <v>41.2</v>
      </c>
      <c r="B133" s="406" t="s">
        <v>19</v>
      </c>
      <c r="C133" s="401">
        <f>'[11]7.3.3.'!I1010</f>
        <v>1685316</v>
      </c>
      <c r="D133" s="401">
        <f>'[11]7.3.3.'!J1010</f>
        <v>0</v>
      </c>
      <c r="E133" s="401">
        <f>'[11]7.3.3.'!K1010</f>
        <v>1685316</v>
      </c>
      <c r="F133" s="401">
        <f>'[11]7.3.3.'!L1010</f>
        <v>0</v>
      </c>
      <c r="G133" s="401">
        <f>'[11]7.3.3.'!M1010</f>
        <v>0</v>
      </c>
      <c r="H133" s="401">
        <f>'[11]7.3.3.'!N1010</f>
        <v>0</v>
      </c>
      <c r="I133" s="401">
        <f>'[11]7.3.3.'!O1010</f>
        <v>1685316</v>
      </c>
      <c r="J133" s="408"/>
      <c r="K133" s="408"/>
      <c r="L133" s="408"/>
      <c r="M133" s="408"/>
      <c r="N133" s="408"/>
      <c r="O133" s="408"/>
      <c r="P133" s="408"/>
      <c r="Q133" s="408"/>
      <c r="R133" s="408"/>
      <c r="S133" s="408"/>
      <c r="T133" s="408"/>
      <c r="U133" s="408"/>
      <c r="V133" s="408"/>
      <c r="W133" s="408"/>
      <c r="X133" s="408"/>
      <c r="Y133" s="408"/>
      <c r="Z133" s="408"/>
      <c r="AA133" s="408"/>
      <c r="AB133" s="408"/>
      <c r="AC133" s="408"/>
      <c r="AD133" s="408"/>
      <c r="AE133" s="408"/>
      <c r="AF133" s="408"/>
      <c r="AG133" s="408"/>
      <c r="AH133" s="408"/>
      <c r="AI133" s="408"/>
      <c r="AJ133" s="408"/>
      <c r="AK133" s="408"/>
      <c r="AL133" s="408"/>
      <c r="AM133" s="408"/>
      <c r="AN133" s="408"/>
      <c r="AO133" s="408"/>
      <c r="AP133" s="408"/>
      <c r="AQ133" s="408"/>
      <c r="AR133" s="408"/>
      <c r="AS133" s="408"/>
      <c r="AT133" s="408"/>
      <c r="AU133" s="408"/>
      <c r="AV133" s="408"/>
      <c r="AW133" s="408"/>
      <c r="AX133" s="408"/>
      <c r="AY133" s="408"/>
      <c r="AZ133" s="408"/>
      <c r="BA133" s="408"/>
      <c r="BB133" s="408"/>
      <c r="BC133" s="408"/>
      <c r="BD133" s="408"/>
      <c r="BE133" s="408"/>
      <c r="BF133" s="408"/>
      <c r="BG133" s="408"/>
      <c r="BH133" s="408"/>
      <c r="BI133" s="408"/>
      <c r="BJ133" s="408"/>
    </row>
    <row r="134" spans="1:62" x14ac:dyDescent="0.25">
      <c r="A134" s="396">
        <f>A131+1</f>
        <v>42</v>
      </c>
      <c r="B134" s="397" t="s">
        <v>596</v>
      </c>
      <c r="C134" s="396">
        <f t="shared" ref="C134:I134" si="41">SUM(C135:C136)</f>
        <v>17363542</v>
      </c>
      <c r="D134" s="396">
        <f t="shared" si="41"/>
        <v>8334955</v>
      </c>
      <c r="E134" s="396">
        <f t="shared" si="41"/>
        <v>9028587</v>
      </c>
      <c r="F134" s="396">
        <f t="shared" si="41"/>
        <v>0</v>
      </c>
      <c r="G134" s="396">
        <f t="shared" si="41"/>
        <v>0</v>
      </c>
      <c r="H134" s="396">
        <f t="shared" si="41"/>
        <v>4446705</v>
      </c>
      <c r="I134" s="396">
        <f t="shared" si="41"/>
        <v>12916837</v>
      </c>
    </row>
    <row r="135" spans="1:62" s="404" customFormat="1" ht="15" customHeight="1" x14ac:dyDescent="0.2">
      <c r="A135" s="399">
        <f>A134+0.1</f>
        <v>42.1</v>
      </c>
      <c r="B135" s="400" t="s">
        <v>17</v>
      </c>
      <c r="C135" s="401">
        <f>'[11]7.3.3.'!I1022</f>
        <v>5918783</v>
      </c>
      <c r="D135" s="401">
        <f>'[11]7.3.3.'!J1022</f>
        <v>5351783</v>
      </c>
      <c r="E135" s="401">
        <f>'[11]7.3.3.'!K1022</f>
        <v>567000</v>
      </c>
      <c r="F135" s="401">
        <f>'[11]7.3.3.'!L1022</f>
        <v>0</v>
      </c>
      <c r="G135" s="401">
        <f>'[11]7.3.3.'!M1022</f>
        <v>0</v>
      </c>
      <c r="H135" s="401">
        <f>'[11]7.3.3.'!N1022</f>
        <v>4446705</v>
      </c>
      <c r="I135" s="401">
        <f>'[11]7.3.3.'!O1022</f>
        <v>1472078</v>
      </c>
      <c r="J135" s="403"/>
      <c r="K135" s="403"/>
      <c r="L135" s="403"/>
      <c r="M135" s="403"/>
      <c r="N135" s="403"/>
      <c r="O135" s="403"/>
      <c r="P135" s="403"/>
      <c r="Q135" s="403"/>
      <c r="R135" s="403"/>
      <c r="S135" s="403"/>
      <c r="T135" s="403"/>
      <c r="U135" s="403"/>
      <c r="V135" s="403"/>
      <c r="W135" s="403"/>
      <c r="X135" s="403"/>
      <c r="Y135" s="403"/>
      <c r="Z135" s="403"/>
      <c r="AA135" s="403"/>
      <c r="AB135" s="403"/>
      <c r="AC135" s="403"/>
      <c r="AD135" s="403"/>
      <c r="AE135" s="403"/>
      <c r="AF135" s="403"/>
      <c r="AG135" s="403"/>
      <c r="AH135" s="403"/>
      <c r="AI135" s="403"/>
      <c r="AJ135" s="403"/>
      <c r="AK135" s="403"/>
      <c r="AL135" s="403"/>
      <c r="AM135" s="403"/>
      <c r="AN135" s="403"/>
      <c r="AO135" s="403"/>
      <c r="AP135" s="403"/>
      <c r="AQ135" s="403"/>
      <c r="AR135" s="403"/>
      <c r="AS135" s="403"/>
      <c r="AT135" s="403"/>
      <c r="AU135" s="403"/>
      <c r="AV135" s="403"/>
      <c r="AW135" s="403"/>
      <c r="AX135" s="403"/>
      <c r="AY135" s="403"/>
      <c r="AZ135" s="403"/>
      <c r="BA135" s="403"/>
      <c r="BB135" s="403"/>
      <c r="BC135" s="403"/>
      <c r="BD135" s="403"/>
      <c r="BE135" s="403"/>
      <c r="BF135" s="403"/>
      <c r="BG135" s="403"/>
      <c r="BH135" s="403"/>
      <c r="BI135" s="403"/>
      <c r="BJ135" s="403"/>
    </row>
    <row r="136" spans="1:62" s="409" customFormat="1" ht="15" customHeight="1" x14ac:dyDescent="0.2">
      <c r="A136" s="405">
        <f>A135+0.1</f>
        <v>42.2</v>
      </c>
      <c r="B136" s="406" t="s">
        <v>19</v>
      </c>
      <c r="C136" s="401">
        <f>'[11]7.3.3.'!I1039</f>
        <v>11444759</v>
      </c>
      <c r="D136" s="401">
        <f>'[11]7.3.3.'!J1039</f>
        <v>2983172</v>
      </c>
      <c r="E136" s="401">
        <f>'[11]7.3.3.'!K1039</f>
        <v>8461587</v>
      </c>
      <c r="F136" s="401">
        <f>'[11]7.3.3.'!L1039</f>
        <v>0</v>
      </c>
      <c r="G136" s="401">
        <f>'[11]7.3.3.'!M1039</f>
        <v>0</v>
      </c>
      <c r="H136" s="401">
        <f>'[11]7.3.3.'!N1039</f>
        <v>0</v>
      </c>
      <c r="I136" s="401">
        <f>'[11]7.3.3.'!O1039</f>
        <v>11444759</v>
      </c>
      <c r="J136" s="408"/>
      <c r="K136" s="408"/>
      <c r="L136" s="408"/>
      <c r="M136" s="408"/>
      <c r="N136" s="408"/>
      <c r="O136" s="408"/>
      <c r="P136" s="408"/>
      <c r="Q136" s="408"/>
      <c r="R136" s="408"/>
      <c r="S136" s="408"/>
      <c r="T136" s="408"/>
      <c r="U136" s="408"/>
      <c r="V136" s="408"/>
      <c r="W136" s="408"/>
      <c r="X136" s="408"/>
      <c r="Y136" s="408"/>
      <c r="Z136" s="408"/>
      <c r="AA136" s="408"/>
      <c r="AB136" s="408"/>
      <c r="AC136" s="408"/>
      <c r="AD136" s="408"/>
      <c r="AE136" s="408"/>
      <c r="AF136" s="408"/>
      <c r="AG136" s="408"/>
      <c r="AH136" s="408"/>
      <c r="AI136" s="408"/>
      <c r="AJ136" s="408"/>
      <c r="AK136" s="408"/>
      <c r="AL136" s="408"/>
      <c r="AM136" s="408"/>
      <c r="AN136" s="408"/>
      <c r="AO136" s="408"/>
      <c r="AP136" s="408"/>
      <c r="AQ136" s="408"/>
      <c r="AR136" s="408"/>
      <c r="AS136" s="408"/>
      <c r="AT136" s="408"/>
      <c r="AU136" s="408"/>
      <c r="AV136" s="408"/>
      <c r="AW136" s="408"/>
      <c r="AX136" s="408"/>
      <c r="AY136" s="408"/>
      <c r="AZ136" s="408"/>
      <c r="BA136" s="408"/>
      <c r="BB136" s="408"/>
      <c r="BC136" s="408"/>
      <c r="BD136" s="408"/>
      <c r="BE136" s="408"/>
      <c r="BF136" s="408"/>
      <c r="BG136" s="408"/>
      <c r="BH136" s="408"/>
      <c r="BI136" s="408"/>
      <c r="BJ136" s="408"/>
    </row>
    <row r="137" spans="1:62" x14ac:dyDescent="0.25">
      <c r="A137" s="396">
        <f>A134+1</f>
        <v>43</v>
      </c>
      <c r="B137" s="397" t="s">
        <v>597</v>
      </c>
      <c r="C137" s="396">
        <f t="shared" ref="C137:I137" si="42">SUM(C138:C139)</f>
        <v>4274501</v>
      </c>
      <c r="D137" s="396">
        <f t="shared" si="42"/>
        <v>4080301</v>
      </c>
      <c r="E137" s="396">
        <f t="shared" si="42"/>
        <v>194200</v>
      </c>
      <c r="F137" s="396">
        <f t="shared" si="42"/>
        <v>0</v>
      </c>
      <c r="G137" s="396">
        <f t="shared" si="42"/>
        <v>0</v>
      </c>
      <c r="H137" s="396">
        <f t="shared" si="42"/>
        <v>0</v>
      </c>
      <c r="I137" s="396">
        <f t="shared" si="42"/>
        <v>4274501</v>
      </c>
    </row>
    <row r="138" spans="1:62" s="404" customFormat="1" ht="15" customHeight="1" x14ac:dyDescent="0.2">
      <c r="A138" s="399">
        <f>A137+0.1</f>
        <v>43.1</v>
      </c>
      <c r="B138" s="400" t="s">
        <v>17</v>
      </c>
      <c r="C138" s="401">
        <f>'[11]7.3.3.'!I1056</f>
        <v>194200</v>
      </c>
      <c r="D138" s="401">
        <f>'[11]7.3.3.'!J1056</f>
        <v>0</v>
      </c>
      <c r="E138" s="401">
        <f>'[11]7.3.3.'!K1056</f>
        <v>194200</v>
      </c>
      <c r="F138" s="401">
        <f>'[11]7.3.3.'!L1056</f>
        <v>0</v>
      </c>
      <c r="G138" s="401">
        <f>'[11]7.3.3.'!M1056</f>
        <v>0</v>
      </c>
      <c r="H138" s="401">
        <f>'[11]7.3.3.'!N1056</f>
        <v>0</v>
      </c>
      <c r="I138" s="401">
        <f>'[11]7.3.3.'!O1056</f>
        <v>194200</v>
      </c>
      <c r="J138" s="403"/>
      <c r="K138" s="403"/>
      <c r="L138" s="403"/>
      <c r="M138" s="403"/>
      <c r="N138" s="403"/>
      <c r="O138" s="403"/>
      <c r="P138" s="403"/>
      <c r="Q138" s="403"/>
      <c r="R138" s="403"/>
      <c r="S138" s="403"/>
      <c r="T138" s="403"/>
      <c r="U138" s="403"/>
      <c r="V138" s="403"/>
      <c r="W138" s="403"/>
      <c r="X138" s="403"/>
      <c r="Y138" s="403"/>
      <c r="Z138" s="403"/>
      <c r="AA138" s="403"/>
      <c r="AB138" s="403"/>
      <c r="AC138" s="403"/>
      <c r="AD138" s="403"/>
      <c r="AE138" s="403"/>
      <c r="AF138" s="403"/>
      <c r="AG138" s="403"/>
      <c r="AH138" s="403"/>
      <c r="AI138" s="403"/>
      <c r="AJ138" s="403"/>
      <c r="AK138" s="403"/>
      <c r="AL138" s="403"/>
      <c r="AM138" s="403"/>
      <c r="AN138" s="403"/>
      <c r="AO138" s="403"/>
      <c r="AP138" s="403"/>
      <c r="AQ138" s="403"/>
      <c r="AR138" s="403"/>
      <c r="AS138" s="403"/>
      <c r="AT138" s="403"/>
      <c r="AU138" s="403"/>
      <c r="AV138" s="403"/>
      <c r="AW138" s="403"/>
      <c r="AX138" s="403"/>
      <c r="AY138" s="403"/>
      <c r="AZ138" s="403"/>
      <c r="BA138" s="403"/>
      <c r="BB138" s="403"/>
      <c r="BC138" s="403"/>
      <c r="BD138" s="403"/>
      <c r="BE138" s="403"/>
      <c r="BF138" s="403"/>
      <c r="BG138" s="403"/>
      <c r="BH138" s="403"/>
      <c r="BI138" s="403"/>
      <c r="BJ138" s="403"/>
    </row>
    <row r="139" spans="1:62" s="409" customFormat="1" ht="15" customHeight="1" x14ac:dyDescent="0.2">
      <c r="A139" s="405">
        <f>A138+0.1</f>
        <v>43.2</v>
      </c>
      <c r="B139" s="406" t="s">
        <v>19</v>
      </c>
      <c r="C139" s="401">
        <f>'[11]7.3.3.'!I1059</f>
        <v>4080301</v>
      </c>
      <c r="D139" s="401">
        <f>'[11]7.3.3.'!J1059</f>
        <v>4080301</v>
      </c>
      <c r="E139" s="401">
        <f>'[11]7.3.3.'!K1059</f>
        <v>0</v>
      </c>
      <c r="F139" s="401">
        <f>'[11]7.3.3.'!L1059</f>
        <v>0</v>
      </c>
      <c r="G139" s="401">
        <f>'[11]7.3.3.'!M1059</f>
        <v>0</v>
      </c>
      <c r="H139" s="401">
        <f>'[11]7.3.3.'!N1059</f>
        <v>0</v>
      </c>
      <c r="I139" s="401">
        <f>'[11]7.3.3.'!O1059</f>
        <v>4080301</v>
      </c>
      <c r="J139" s="408"/>
      <c r="K139" s="408"/>
      <c r="L139" s="408"/>
      <c r="M139" s="408"/>
      <c r="N139" s="408"/>
      <c r="O139" s="408"/>
      <c r="P139" s="408"/>
      <c r="Q139" s="408"/>
      <c r="R139" s="408"/>
      <c r="S139" s="408"/>
      <c r="T139" s="408"/>
      <c r="U139" s="408"/>
      <c r="V139" s="408"/>
      <c r="W139" s="408"/>
      <c r="X139" s="408"/>
      <c r="Y139" s="408"/>
      <c r="Z139" s="408"/>
      <c r="AA139" s="408"/>
      <c r="AB139" s="408"/>
      <c r="AC139" s="408"/>
      <c r="AD139" s="408"/>
      <c r="AE139" s="408"/>
      <c r="AF139" s="408"/>
      <c r="AG139" s="408"/>
      <c r="AH139" s="408"/>
      <c r="AI139" s="408"/>
      <c r="AJ139" s="408"/>
      <c r="AK139" s="408"/>
      <c r="AL139" s="408"/>
      <c r="AM139" s="408"/>
      <c r="AN139" s="408"/>
      <c r="AO139" s="408"/>
      <c r="AP139" s="408"/>
      <c r="AQ139" s="408"/>
      <c r="AR139" s="408"/>
      <c r="AS139" s="408"/>
      <c r="AT139" s="408"/>
      <c r="AU139" s="408"/>
      <c r="AV139" s="408"/>
      <c r="AW139" s="408"/>
      <c r="AX139" s="408"/>
      <c r="AY139" s="408"/>
      <c r="AZ139" s="408"/>
      <c r="BA139" s="408"/>
      <c r="BB139" s="408"/>
      <c r="BC139" s="408"/>
      <c r="BD139" s="408"/>
      <c r="BE139" s="408"/>
      <c r="BF139" s="408"/>
      <c r="BG139" s="408"/>
      <c r="BH139" s="408"/>
      <c r="BI139" s="408"/>
      <c r="BJ139" s="408"/>
    </row>
    <row r="140" spans="1:62" x14ac:dyDescent="0.25">
      <c r="A140" s="396">
        <f>A137+1</f>
        <v>44</v>
      </c>
      <c r="B140" s="397" t="s">
        <v>598</v>
      </c>
      <c r="C140" s="396">
        <f t="shared" ref="C140:I140" si="43">SUM(C141:C142)</f>
        <v>3006215</v>
      </c>
      <c r="D140" s="396">
        <f t="shared" si="43"/>
        <v>0</v>
      </c>
      <c r="E140" s="396">
        <f t="shared" si="43"/>
        <v>3006215</v>
      </c>
      <c r="F140" s="396">
        <f t="shared" si="43"/>
        <v>0</v>
      </c>
      <c r="G140" s="396">
        <f t="shared" si="43"/>
        <v>0</v>
      </c>
      <c r="H140" s="396">
        <f t="shared" si="43"/>
        <v>0</v>
      </c>
      <c r="I140" s="396">
        <f t="shared" si="43"/>
        <v>3006215</v>
      </c>
    </row>
    <row r="141" spans="1:62" s="404" customFormat="1" ht="15" customHeight="1" x14ac:dyDescent="0.2">
      <c r="A141" s="399">
        <f>A140+0.1</f>
        <v>44.1</v>
      </c>
      <c r="B141" s="400" t="s">
        <v>17</v>
      </c>
      <c r="C141" s="401">
        <f>'[11]7.3.3.'!I1072</f>
        <v>678500</v>
      </c>
      <c r="D141" s="401">
        <f>'[11]7.3.3.'!J1072</f>
        <v>0</v>
      </c>
      <c r="E141" s="401">
        <f>'[11]7.3.3.'!K1072</f>
        <v>678500</v>
      </c>
      <c r="F141" s="401">
        <f>'[11]7.3.3.'!L1072</f>
        <v>0</v>
      </c>
      <c r="G141" s="401">
        <f>'[11]7.3.3.'!M1072</f>
        <v>0</v>
      </c>
      <c r="H141" s="401">
        <f>'[11]7.3.3.'!N1072</f>
        <v>0</v>
      </c>
      <c r="I141" s="401">
        <f>'[11]7.3.3.'!O1072</f>
        <v>678500</v>
      </c>
      <c r="J141" s="403"/>
      <c r="K141" s="403"/>
      <c r="L141" s="403"/>
      <c r="M141" s="403"/>
      <c r="N141" s="403"/>
      <c r="O141" s="403"/>
      <c r="P141" s="403"/>
      <c r="Q141" s="403"/>
      <c r="R141" s="403"/>
      <c r="S141" s="403"/>
      <c r="T141" s="403"/>
      <c r="U141" s="403"/>
      <c r="V141" s="403"/>
      <c r="W141" s="403"/>
      <c r="X141" s="403"/>
      <c r="Y141" s="403"/>
      <c r="Z141" s="403"/>
      <c r="AA141" s="403"/>
      <c r="AB141" s="403"/>
      <c r="AC141" s="403"/>
      <c r="AD141" s="403"/>
      <c r="AE141" s="403"/>
      <c r="AF141" s="403"/>
      <c r="AG141" s="403"/>
      <c r="AH141" s="403"/>
      <c r="AI141" s="403"/>
      <c r="AJ141" s="403"/>
      <c r="AK141" s="403"/>
      <c r="AL141" s="403"/>
      <c r="AM141" s="403"/>
      <c r="AN141" s="403"/>
      <c r="AO141" s="403"/>
      <c r="AP141" s="403"/>
      <c r="AQ141" s="403"/>
      <c r="AR141" s="403"/>
      <c r="AS141" s="403"/>
      <c r="AT141" s="403"/>
      <c r="AU141" s="403"/>
      <c r="AV141" s="403"/>
      <c r="AW141" s="403"/>
      <c r="AX141" s="403"/>
      <c r="AY141" s="403"/>
      <c r="AZ141" s="403"/>
      <c r="BA141" s="403"/>
      <c r="BB141" s="403"/>
      <c r="BC141" s="403"/>
      <c r="BD141" s="403"/>
      <c r="BE141" s="403"/>
      <c r="BF141" s="403"/>
      <c r="BG141" s="403"/>
      <c r="BH141" s="403"/>
      <c r="BI141" s="403"/>
      <c r="BJ141" s="403"/>
    </row>
    <row r="142" spans="1:62" s="409" customFormat="1" ht="15" customHeight="1" x14ac:dyDescent="0.2">
      <c r="A142" s="405">
        <f>A141+0.1</f>
        <v>44.2</v>
      </c>
      <c r="B142" s="406" t="s">
        <v>19</v>
      </c>
      <c r="C142" s="401">
        <f>'[11]7.3.3.'!I1075</f>
        <v>2327715</v>
      </c>
      <c r="D142" s="401">
        <f>'[11]7.3.3.'!J1075</f>
        <v>0</v>
      </c>
      <c r="E142" s="401">
        <f>'[11]7.3.3.'!K1075</f>
        <v>2327715</v>
      </c>
      <c r="F142" s="401">
        <f>'[11]7.3.3.'!L1075</f>
        <v>0</v>
      </c>
      <c r="G142" s="401">
        <f>'[11]7.3.3.'!M1075</f>
        <v>0</v>
      </c>
      <c r="H142" s="401">
        <f>'[11]7.3.3.'!N1075</f>
        <v>0</v>
      </c>
      <c r="I142" s="401">
        <f>'[11]7.3.3.'!O1075</f>
        <v>2327715</v>
      </c>
      <c r="J142" s="408"/>
      <c r="K142" s="408"/>
      <c r="L142" s="408"/>
      <c r="M142" s="408"/>
      <c r="N142" s="408"/>
      <c r="O142" s="408"/>
      <c r="P142" s="408"/>
      <c r="Q142" s="408"/>
      <c r="R142" s="408"/>
      <c r="S142" s="408"/>
      <c r="T142" s="408"/>
      <c r="U142" s="408"/>
      <c r="V142" s="408"/>
      <c r="W142" s="408"/>
      <c r="X142" s="408"/>
      <c r="Y142" s="408"/>
      <c r="Z142" s="408"/>
      <c r="AA142" s="408"/>
      <c r="AB142" s="408"/>
      <c r="AC142" s="408"/>
      <c r="AD142" s="408"/>
      <c r="AE142" s="408"/>
      <c r="AF142" s="408"/>
      <c r="AG142" s="408"/>
      <c r="AH142" s="408"/>
      <c r="AI142" s="408"/>
      <c r="AJ142" s="408"/>
      <c r="AK142" s="408"/>
      <c r="AL142" s="408"/>
      <c r="AM142" s="408"/>
      <c r="AN142" s="408"/>
      <c r="AO142" s="408"/>
      <c r="AP142" s="408"/>
      <c r="AQ142" s="408"/>
      <c r="AR142" s="408"/>
      <c r="AS142" s="408"/>
      <c r="AT142" s="408"/>
      <c r="AU142" s="408"/>
      <c r="AV142" s="408"/>
      <c r="AW142" s="408"/>
      <c r="AX142" s="408"/>
      <c r="AY142" s="408"/>
      <c r="AZ142" s="408"/>
      <c r="BA142" s="408"/>
      <c r="BB142" s="408"/>
      <c r="BC142" s="408"/>
      <c r="BD142" s="408"/>
      <c r="BE142" s="408"/>
      <c r="BF142" s="408"/>
      <c r="BG142" s="408"/>
      <c r="BH142" s="408"/>
      <c r="BI142" s="408"/>
      <c r="BJ142" s="408"/>
    </row>
    <row r="143" spans="1:62" x14ac:dyDescent="0.25">
      <c r="A143" s="396">
        <f>A140+1</f>
        <v>45</v>
      </c>
      <c r="B143" s="397" t="s">
        <v>599</v>
      </c>
      <c r="C143" s="396">
        <f t="shared" ref="C143:I143" si="44">SUM(C144:C145)</f>
        <v>16850410</v>
      </c>
      <c r="D143" s="396">
        <f t="shared" si="44"/>
        <v>7673449</v>
      </c>
      <c r="E143" s="396">
        <f t="shared" si="44"/>
        <v>9176961</v>
      </c>
      <c r="F143" s="396">
        <f t="shared" si="44"/>
        <v>0</v>
      </c>
      <c r="G143" s="396">
        <f t="shared" si="44"/>
        <v>0</v>
      </c>
      <c r="H143" s="396">
        <f t="shared" si="44"/>
        <v>7673449</v>
      </c>
      <c r="I143" s="396">
        <f t="shared" si="44"/>
        <v>9176961</v>
      </c>
    </row>
    <row r="144" spans="1:62" s="404" customFormat="1" ht="15" customHeight="1" x14ac:dyDescent="0.2">
      <c r="A144" s="399">
        <f>A143+0.1</f>
        <v>45.1</v>
      </c>
      <c r="B144" s="400" t="s">
        <v>17</v>
      </c>
      <c r="C144" s="401">
        <f>'[11]7.3.3.'!I1090</f>
        <v>7921477</v>
      </c>
      <c r="D144" s="401">
        <f>'[11]7.3.3.'!J1090</f>
        <v>4485804</v>
      </c>
      <c r="E144" s="401">
        <f>'[11]7.3.3.'!K1090</f>
        <v>3435673</v>
      </c>
      <c r="F144" s="401">
        <f>'[11]7.3.3.'!L1090</f>
        <v>0</v>
      </c>
      <c r="G144" s="401">
        <f>'[11]7.3.3.'!M1090</f>
        <v>0</v>
      </c>
      <c r="H144" s="401">
        <f>'[11]7.3.3.'!N1090</f>
        <v>4485804</v>
      </c>
      <c r="I144" s="401">
        <f>'[11]7.3.3.'!O1090</f>
        <v>3435673</v>
      </c>
      <c r="J144" s="403"/>
      <c r="K144" s="403"/>
      <c r="L144" s="403"/>
      <c r="M144" s="403"/>
      <c r="N144" s="403"/>
      <c r="O144" s="403"/>
      <c r="P144" s="403"/>
      <c r="Q144" s="403"/>
      <c r="R144" s="403"/>
      <c r="S144" s="403"/>
      <c r="T144" s="403"/>
      <c r="U144" s="403"/>
      <c r="V144" s="403"/>
      <c r="W144" s="403"/>
      <c r="X144" s="403"/>
      <c r="Y144" s="403"/>
      <c r="Z144" s="403"/>
      <c r="AA144" s="403"/>
      <c r="AB144" s="403"/>
      <c r="AC144" s="403"/>
      <c r="AD144" s="403"/>
      <c r="AE144" s="403"/>
      <c r="AF144" s="403"/>
      <c r="AG144" s="403"/>
      <c r="AH144" s="403"/>
      <c r="AI144" s="403"/>
      <c r="AJ144" s="403"/>
      <c r="AK144" s="403"/>
      <c r="AL144" s="403"/>
      <c r="AM144" s="403"/>
      <c r="AN144" s="403"/>
      <c r="AO144" s="403"/>
      <c r="AP144" s="403"/>
      <c r="AQ144" s="403"/>
      <c r="AR144" s="403"/>
      <c r="AS144" s="403"/>
      <c r="AT144" s="403"/>
      <c r="AU144" s="403"/>
      <c r="AV144" s="403"/>
      <c r="AW144" s="403"/>
      <c r="AX144" s="403"/>
      <c r="AY144" s="403"/>
      <c r="AZ144" s="403"/>
      <c r="BA144" s="403"/>
      <c r="BB144" s="403"/>
      <c r="BC144" s="403"/>
      <c r="BD144" s="403"/>
      <c r="BE144" s="403"/>
      <c r="BF144" s="403"/>
      <c r="BG144" s="403"/>
      <c r="BH144" s="403"/>
      <c r="BI144" s="403"/>
      <c r="BJ144" s="403"/>
    </row>
    <row r="145" spans="1:62" s="409" customFormat="1" ht="15" customHeight="1" x14ac:dyDescent="0.2">
      <c r="A145" s="405">
        <f>A144+0.1</f>
        <v>45.2</v>
      </c>
      <c r="B145" s="406" t="s">
        <v>19</v>
      </c>
      <c r="C145" s="401">
        <f>'[11]7.3.3.'!I1112</f>
        <v>8928933</v>
      </c>
      <c r="D145" s="401">
        <f>'[11]7.3.3.'!J1112</f>
        <v>3187645</v>
      </c>
      <c r="E145" s="401">
        <f>'[11]7.3.3.'!K1112</f>
        <v>5741288</v>
      </c>
      <c r="F145" s="401">
        <f>'[11]7.3.3.'!L1112</f>
        <v>0</v>
      </c>
      <c r="G145" s="401">
        <f>'[11]7.3.3.'!M1112</f>
        <v>0</v>
      </c>
      <c r="H145" s="401">
        <f>'[11]7.3.3.'!N1112</f>
        <v>3187645</v>
      </c>
      <c r="I145" s="401">
        <f>'[11]7.3.3.'!O1112</f>
        <v>5741288</v>
      </c>
      <c r="J145" s="408"/>
      <c r="K145" s="408"/>
      <c r="L145" s="408"/>
      <c r="M145" s="408"/>
      <c r="N145" s="408"/>
      <c r="O145" s="408"/>
      <c r="P145" s="408"/>
      <c r="Q145" s="408"/>
      <c r="R145" s="408"/>
      <c r="S145" s="408"/>
      <c r="T145" s="408"/>
      <c r="U145" s="408"/>
      <c r="V145" s="408"/>
      <c r="W145" s="408"/>
      <c r="X145" s="408"/>
      <c r="Y145" s="408"/>
      <c r="Z145" s="408"/>
      <c r="AA145" s="408"/>
      <c r="AB145" s="408"/>
      <c r="AC145" s="408"/>
      <c r="AD145" s="408"/>
      <c r="AE145" s="408"/>
      <c r="AF145" s="408"/>
      <c r="AG145" s="408"/>
      <c r="AH145" s="408"/>
      <c r="AI145" s="408"/>
      <c r="AJ145" s="408"/>
      <c r="AK145" s="408"/>
      <c r="AL145" s="408"/>
      <c r="AM145" s="408"/>
      <c r="AN145" s="408"/>
      <c r="AO145" s="408"/>
      <c r="AP145" s="408"/>
      <c r="AQ145" s="408"/>
      <c r="AR145" s="408"/>
      <c r="AS145" s="408"/>
      <c r="AT145" s="408"/>
      <c r="AU145" s="408"/>
      <c r="AV145" s="408"/>
      <c r="AW145" s="408"/>
      <c r="AX145" s="408"/>
      <c r="AY145" s="408"/>
      <c r="AZ145" s="408"/>
      <c r="BA145" s="408"/>
      <c r="BB145" s="408"/>
      <c r="BC145" s="408"/>
      <c r="BD145" s="408"/>
      <c r="BE145" s="408"/>
      <c r="BF145" s="408"/>
      <c r="BG145" s="408"/>
      <c r="BH145" s="408"/>
      <c r="BI145" s="408"/>
      <c r="BJ145" s="408"/>
    </row>
    <row r="146" spans="1:62" x14ac:dyDescent="0.25">
      <c r="A146" s="396">
        <f>A143+1</f>
        <v>46</v>
      </c>
      <c r="B146" s="397" t="s">
        <v>600</v>
      </c>
      <c r="C146" s="396">
        <f t="shared" ref="C146:I146" si="45">SUM(C147:C148)</f>
        <v>21441259</v>
      </c>
      <c r="D146" s="396">
        <f t="shared" si="45"/>
        <v>21441259</v>
      </c>
      <c r="E146" s="396">
        <f t="shared" si="45"/>
        <v>0</v>
      </c>
      <c r="F146" s="396">
        <f t="shared" si="45"/>
        <v>0</v>
      </c>
      <c r="G146" s="396">
        <f t="shared" si="45"/>
        <v>0</v>
      </c>
      <c r="H146" s="396">
        <f t="shared" si="45"/>
        <v>21441259</v>
      </c>
      <c r="I146" s="396">
        <f t="shared" si="45"/>
        <v>0</v>
      </c>
    </row>
    <row r="147" spans="1:62" s="404" customFormat="1" ht="15" customHeight="1" x14ac:dyDescent="0.2">
      <c r="A147" s="399">
        <f>A146+0.1</f>
        <v>46.1</v>
      </c>
      <c r="B147" s="400" t="s">
        <v>17</v>
      </c>
      <c r="C147" s="401">
        <f>'[11]7.3.3.'!I1132</f>
        <v>17691044</v>
      </c>
      <c r="D147" s="401">
        <f>'[11]7.3.3.'!J1132</f>
        <v>17691044</v>
      </c>
      <c r="E147" s="401">
        <f>'[11]7.3.3.'!K1132</f>
        <v>0</v>
      </c>
      <c r="F147" s="401">
        <f>'[11]7.3.3.'!L1132</f>
        <v>0</v>
      </c>
      <c r="G147" s="401">
        <f>'[11]7.3.3.'!M1132</f>
        <v>0</v>
      </c>
      <c r="H147" s="401">
        <f>'[11]7.3.3.'!N1132</f>
        <v>17691044</v>
      </c>
      <c r="I147" s="401">
        <f>'[11]7.3.3.'!$O$1132</f>
        <v>0</v>
      </c>
      <c r="J147" s="403"/>
      <c r="K147" s="403"/>
      <c r="L147" s="403"/>
      <c r="M147" s="403"/>
      <c r="N147" s="403"/>
      <c r="O147" s="403"/>
      <c r="P147" s="403"/>
      <c r="Q147" s="403"/>
      <c r="R147" s="403"/>
      <c r="S147" s="403"/>
      <c r="T147" s="403"/>
      <c r="U147" s="403"/>
      <c r="V147" s="403"/>
      <c r="W147" s="403"/>
      <c r="X147" s="403"/>
      <c r="Y147" s="403"/>
      <c r="Z147" s="403"/>
      <c r="AA147" s="403"/>
      <c r="AB147" s="403"/>
      <c r="AC147" s="403"/>
      <c r="AD147" s="403"/>
      <c r="AE147" s="403"/>
      <c r="AF147" s="403"/>
      <c r="AG147" s="403"/>
      <c r="AH147" s="403"/>
      <c r="AI147" s="403"/>
      <c r="AJ147" s="403"/>
      <c r="AK147" s="403"/>
      <c r="AL147" s="403"/>
      <c r="AM147" s="403"/>
      <c r="AN147" s="403"/>
      <c r="AO147" s="403"/>
      <c r="AP147" s="403"/>
      <c r="AQ147" s="403"/>
      <c r="AR147" s="403"/>
      <c r="AS147" s="403"/>
      <c r="AT147" s="403"/>
      <c r="AU147" s="403"/>
      <c r="AV147" s="403"/>
      <c r="AW147" s="403"/>
      <c r="AX147" s="403"/>
      <c r="AY147" s="403"/>
      <c r="AZ147" s="403"/>
      <c r="BA147" s="403"/>
      <c r="BB147" s="403"/>
      <c r="BC147" s="403"/>
      <c r="BD147" s="403"/>
      <c r="BE147" s="403"/>
      <c r="BF147" s="403"/>
      <c r="BG147" s="403"/>
      <c r="BH147" s="403"/>
      <c r="BI147" s="403"/>
      <c r="BJ147" s="403"/>
    </row>
    <row r="148" spans="1:62" s="409" customFormat="1" ht="15" customHeight="1" x14ac:dyDescent="0.2">
      <c r="A148" s="405">
        <f>A147+0.1</f>
        <v>46.2</v>
      </c>
      <c r="B148" s="406" t="s">
        <v>19</v>
      </c>
      <c r="C148" s="401">
        <f>'[11]7.3.3.'!I1165</f>
        <v>3750215</v>
      </c>
      <c r="D148" s="401">
        <f>'[11]7.3.3.'!J1165</f>
        <v>3750215</v>
      </c>
      <c r="E148" s="401">
        <f>'[11]7.3.3.'!K1165</f>
        <v>0</v>
      </c>
      <c r="F148" s="401">
        <f>'[11]7.3.3.'!L1165</f>
        <v>0</v>
      </c>
      <c r="G148" s="401">
        <f>'[11]7.3.3.'!M1165</f>
        <v>0</v>
      </c>
      <c r="H148" s="401">
        <f>'[11]7.3.3.'!N1165</f>
        <v>3750215</v>
      </c>
      <c r="I148" s="401">
        <f>'[11]7.3.3.'!$O$1150</f>
        <v>0</v>
      </c>
      <c r="J148" s="408"/>
      <c r="K148" s="408"/>
      <c r="L148" s="408"/>
      <c r="M148" s="408"/>
      <c r="N148" s="408"/>
      <c r="O148" s="408"/>
      <c r="P148" s="408"/>
      <c r="Q148" s="408"/>
      <c r="R148" s="408"/>
      <c r="S148" s="408"/>
      <c r="T148" s="408"/>
      <c r="U148" s="408"/>
      <c r="V148" s="408"/>
      <c r="W148" s="408"/>
      <c r="X148" s="408"/>
      <c r="Y148" s="408"/>
      <c r="Z148" s="408"/>
      <c r="AA148" s="408"/>
      <c r="AB148" s="408"/>
      <c r="AC148" s="408"/>
      <c r="AD148" s="408"/>
      <c r="AE148" s="408"/>
      <c r="AF148" s="408"/>
      <c r="AG148" s="408"/>
      <c r="AH148" s="408"/>
      <c r="AI148" s="408"/>
      <c r="AJ148" s="408"/>
      <c r="AK148" s="408"/>
      <c r="AL148" s="408"/>
      <c r="AM148" s="408"/>
      <c r="AN148" s="408"/>
      <c r="AO148" s="408"/>
      <c r="AP148" s="408"/>
      <c r="AQ148" s="408"/>
      <c r="AR148" s="408"/>
      <c r="AS148" s="408"/>
      <c r="AT148" s="408"/>
      <c r="AU148" s="408"/>
      <c r="AV148" s="408"/>
      <c r="AW148" s="408"/>
      <c r="AX148" s="408"/>
      <c r="AY148" s="408"/>
      <c r="AZ148" s="408"/>
      <c r="BA148" s="408"/>
      <c r="BB148" s="408"/>
      <c r="BC148" s="408"/>
      <c r="BD148" s="408"/>
      <c r="BE148" s="408"/>
      <c r="BF148" s="408"/>
      <c r="BG148" s="408"/>
      <c r="BH148" s="408"/>
      <c r="BI148" s="408"/>
      <c r="BJ148" s="408"/>
    </row>
    <row r="149" spans="1:62" s="412" customFormat="1" ht="15.75" x14ac:dyDescent="0.25">
      <c r="A149" s="675" t="s">
        <v>303</v>
      </c>
      <c r="B149" s="675"/>
      <c r="C149" s="410">
        <f>C146+C143+C140+C137+C134+C131+C128+C125+C122+C119+C116+C113+C110+C107+C104+C101+C98+C95+C92+C89+C86+C83+C80+C77+C74+C71+C68+C65+C62+C59+C56+C53+C50+C47+C44+C41+C38+C35+C32+C29+C26+C23+C20+C17+C14+C11</f>
        <v>314322356.5</v>
      </c>
      <c r="D149" s="410">
        <f t="shared" ref="D149:I149" si="46">D146+D143+D140+D137+D134+D131+D128+D125+D122+D119+D116+D113+D110+D107+D104+D101+D98+D95+D92+D89+D86+D83+D80+D77+D74+D71+D68+D65+D62+D59+D56+D53+D50+D47+D44+D41+D38+D35+D32+D29+D26+D23+D20+D17+D14+D11</f>
        <v>187005204.75</v>
      </c>
      <c r="E149" s="410">
        <f t="shared" si="46"/>
        <v>124605068.75</v>
      </c>
      <c r="F149" s="410">
        <f t="shared" si="46"/>
        <v>2712083</v>
      </c>
      <c r="G149" s="410">
        <f t="shared" si="46"/>
        <v>0</v>
      </c>
      <c r="H149" s="410">
        <f t="shared" si="46"/>
        <v>145511229.75</v>
      </c>
      <c r="I149" s="410">
        <f t="shared" si="46"/>
        <v>168811126.75</v>
      </c>
      <c r="J149" s="411"/>
      <c r="K149" s="411"/>
      <c r="L149" s="411"/>
      <c r="M149" s="411"/>
      <c r="N149" s="411"/>
      <c r="O149" s="411"/>
      <c r="P149" s="411"/>
      <c r="Q149" s="411"/>
      <c r="R149" s="411"/>
      <c r="S149" s="411"/>
      <c r="T149" s="411"/>
      <c r="U149" s="411"/>
      <c r="V149" s="411"/>
      <c r="W149" s="411"/>
      <c r="X149" s="411"/>
      <c r="Y149" s="411"/>
      <c r="Z149" s="411"/>
      <c r="AA149" s="411"/>
      <c r="AB149" s="411"/>
      <c r="AC149" s="411"/>
      <c r="AD149" s="411"/>
      <c r="AE149" s="411"/>
      <c r="AF149" s="411"/>
      <c r="AG149" s="411"/>
      <c r="AH149" s="411"/>
      <c r="AI149" s="411"/>
      <c r="AJ149" s="411"/>
      <c r="AK149" s="411"/>
      <c r="AL149" s="411"/>
      <c r="AM149" s="411"/>
      <c r="AN149" s="411"/>
      <c r="AO149" s="411"/>
      <c r="AP149" s="411"/>
      <c r="AQ149" s="411"/>
      <c r="AR149" s="411"/>
      <c r="AS149" s="411"/>
      <c r="AT149" s="411"/>
      <c r="AU149" s="411"/>
      <c r="AV149" s="411"/>
      <c r="AW149" s="411"/>
      <c r="AX149" s="411"/>
      <c r="AY149" s="411"/>
      <c r="AZ149" s="411"/>
      <c r="BA149" s="411"/>
      <c r="BB149" s="411"/>
      <c r="BC149" s="411"/>
      <c r="BD149" s="411"/>
      <c r="BE149" s="411"/>
      <c r="BF149" s="411"/>
      <c r="BG149" s="411"/>
      <c r="BH149" s="411"/>
      <c r="BI149" s="411"/>
      <c r="BJ149" s="411"/>
    </row>
    <row r="150" spans="1:62" x14ac:dyDescent="0.25">
      <c r="C150" s="413"/>
      <c r="D150" s="413"/>
      <c r="E150" s="413"/>
      <c r="F150" s="413"/>
      <c r="G150" s="413"/>
      <c r="H150" s="413"/>
      <c r="I150" s="413"/>
    </row>
    <row r="151" spans="1:62" ht="28.5" x14ac:dyDescent="0.25">
      <c r="C151" s="414" t="s">
        <v>331</v>
      </c>
      <c r="D151" s="414" t="s">
        <v>330</v>
      </c>
      <c r="E151" s="414" t="s">
        <v>329</v>
      </c>
      <c r="F151" s="414" t="s">
        <v>328</v>
      </c>
      <c r="G151" s="414" t="s">
        <v>357</v>
      </c>
      <c r="H151" s="414" t="s">
        <v>601</v>
      </c>
      <c r="I151" s="414" t="s">
        <v>602</v>
      </c>
    </row>
    <row r="152" spans="1:62" x14ac:dyDescent="0.25">
      <c r="A152" s="377" t="s">
        <v>603</v>
      </c>
      <c r="C152" s="415">
        <f>C146+C143+C140+C137+C134+C131+C128+C125+C122+C119+C116+C113+C110+C107+C104+C101+C98+C95+C92+C89+C86+C83+C80+C77+C74+C71+C68+C65+C62+C59+C56+C53+C50+C47+C44+C41+C38+C35+C32+C29+C26+C23+C20+C17+C14+C11</f>
        <v>314322356.5</v>
      </c>
      <c r="D152" s="415">
        <f t="shared" ref="D152:I152" si="47">D146+D143+D140+D137+D134+D131+D128+D125+D122+D119+D116+D113+D110+D107+D104+D101+D98+D95+D92+D89+D86+D83+D80+D77+D74+D71+D68+D65+D62+D59+D56+D53+D50+D47+D44+D41+D38+D35+D32+D29+D26+D23+D20+D17+D14+D11</f>
        <v>187005204.75</v>
      </c>
      <c r="E152" s="415">
        <f t="shared" si="47"/>
        <v>124605068.75</v>
      </c>
      <c r="F152" s="415">
        <f t="shared" si="47"/>
        <v>2712083</v>
      </c>
      <c r="G152" s="415">
        <f t="shared" si="47"/>
        <v>0</v>
      </c>
      <c r="H152" s="415">
        <f t="shared" si="47"/>
        <v>145511229.75</v>
      </c>
      <c r="I152" s="415">
        <f t="shared" si="47"/>
        <v>168811126.75</v>
      </c>
    </row>
    <row r="153" spans="1:62" x14ac:dyDescent="0.25">
      <c r="B153" s="416" t="s">
        <v>17</v>
      </c>
      <c r="C153" s="415">
        <f t="shared" ref="C153:I154" si="48">C147+C144+C141+C138+C135+C132+C129+C126+C123+C120+C117+C114+C111+C108+C105+C102+C99+C96+C93+C90+C87+C84+C81+C78+C75+C72+C69+C66+C63+C60+C57+C54+C51+C48+C45+C42+C39+C36+C33+C30+C27+C24+C21+C18+C15+C12</f>
        <v>126686817.5</v>
      </c>
      <c r="D153" s="415">
        <f t="shared" si="48"/>
        <v>109595566.75</v>
      </c>
      <c r="E153" s="415">
        <f t="shared" si="48"/>
        <v>17091250.75</v>
      </c>
      <c r="F153" s="415">
        <f t="shared" si="48"/>
        <v>0</v>
      </c>
      <c r="G153" s="415">
        <f t="shared" si="48"/>
        <v>0</v>
      </c>
      <c r="H153" s="415">
        <f t="shared" si="48"/>
        <v>100256236.75</v>
      </c>
      <c r="I153" s="415">
        <f t="shared" si="48"/>
        <v>26430580.75</v>
      </c>
    </row>
    <row r="154" spans="1:62" x14ac:dyDescent="0.25">
      <c r="B154" s="417" t="s">
        <v>19</v>
      </c>
      <c r="C154" s="415">
        <f t="shared" si="48"/>
        <v>187635539</v>
      </c>
      <c r="D154" s="415">
        <f t="shared" si="48"/>
        <v>77409638</v>
      </c>
      <c r="E154" s="415">
        <f t="shared" si="48"/>
        <v>107513818</v>
      </c>
      <c r="F154" s="415">
        <f t="shared" si="48"/>
        <v>2712083</v>
      </c>
      <c r="G154" s="415">
        <f t="shared" si="48"/>
        <v>0</v>
      </c>
      <c r="H154" s="415">
        <f t="shared" si="48"/>
        <v>45254993</v>
      </c>
      <c r="I154" s="415">
        <f t="shared" si="48"/>
        <v>142380546</v>
      </c>
    </row>
    <row r="155" spans="1:62" x14ac:dyDescent="0.25">
      <c r="A155" s="378"/>
      <c r="B155" s="379"/>
      <c r="C155" s="379"/>
      <c r="D155" s="379"/>
      <c r="E155" s="379"/>
      <c r="F155" s="379"/>
      <c r="G155" s="379"/>
      <c r="H155" s="379"/>
      <c r="I155" s="379"/>
      <c r="J155" s="378"/>
      <c r="K155" s="378"/>
      <c r="L155" s="378"/>
      <c r="M155" s="378"/>
      <c r="N155" s="378"/>
      <c r="O155" s="378"/>
      <c r="P155" s="378"/>
      <c r="Q155" s="378"/>
      <c r="R155" s="378"/>
      <c r="S155" s="378"/>
      <c r="T155" s="378"/>
      <c r="U155" s="378"/>
      <c r="V155" s="378"/>
      <c r="W155" s="378"/>
      <c r="X155" s="378"/>
      <c r="Y155" s="378"/>
      <c r="Z155" s="378"/>
      <c r="AA155" s="378"/>
      <c r="AB155" s="378"/>
      <c r="AC155" s="378"/>
      <c r="AD155" s="378"/>
      <c r="AE155" s="378"/>
      <c r="AF155" s="378"/>
      <c r="AG155" s="378"/>
      <c r="AH155" s="378"/>
      <c r="AI155" s="378"/>
      <c r="AJ155" s="378"/>
      <c r="AK155" s="378"/>
      <c r="AL155" s="378"/>
      <c r="AM155" s="378"/>
      <c r="AN155" s="378"/>
      <c r="AO155" s="378"/>
      <c r="AP155" s="378"/>
      <c r="AQ155" s="378"/>
      <c r="AR155" s="378"/>
      <c r="AS155" s="378"/>
      <c r="AT155" s="378"/>
      <c r="AU155" s="378"/>
      <c r="AV155" s="378"/>
      <c r="AW155" s="378"/>
      <c r="AX155" s="378"/>
      <c r="AY155" s="378"/>
      <c r="AZ155" s="378"/>
      <c r="BA155" s="378"/>
      <c r="BB155" s="378"/>
      <c r="BC155" s="378"/>
      <c r="BD155" s="378"/>
      <c r="BE155" s="378"/>
      <c r="BF155" s="378"/>
      <c r="BG155" s="378"/>
      <c r="BH155" s="378"/>
      <c r="BI155" s="378"/>
      <c r="BJ155" s="378"/>
    </row>
    <row r="156" spans="1:62" x14ac:dyDescent="0.25">
      <c r="A156" s="378"/>
      <c r="B156" s="379"/>
      <c r="C156" s="418"/>
      <c r="D156" s="538">
        <f>D152-H152</f>
        <v>41493975</v>
      </c>
      <c r="E156" s="379"/>
      <c r="F156" s="379"/>
      <c r="G156" s="379"/>
      <c r="H156" s="419"/>
      <c r="I156" s="379"/>
      <c r="J156" s="378"/>
      <c r="K156" s="378"/>
      <c r="L156" s="378"/>
      <c r="M156" s="378"/>
      <c r="N156" s="378"/>
      <c r="O156" s="378"/>
      <c r="P156" s="378"/>
      <c r="Q156" s="378"/>
      <c r="R156" s="378"/>
      <c r="S156" s="378"/>
      <c r="T156" s="378"/>
      <c r="U156" s="378"/>
      <c r="V156" s="378"/>
      <c r="W156" s="378"/>
      <c r="X156" s="378"/>
      <c r="Y156" s="378"/>
      <c r="Z156" s="378"/>
      <c r="AA156" s="378"/>
      <c r="AB156" s="378"/>
      <c r="AC156" s="378"/>
      <c r="AD156" s="378"/>
      <c r="AE156" s="378"/>
      <c r="AF156" s="378"/>
      <c r="AG156" s="378"/>
      <c r="AH156" s="378"/>
      <c r="AI156" s="378"/>
      <c r="AJ156" s="378"/>
      <c r="AK156" s="378"/>
      <c r="AL156" s="378"/>
      <c r="AM156" s="378"/>
      <c r="AN156" s="378"/>
      <c r="AO156" s="378"/>
      <c r="AP156" s="378"/>
      <c r="AQ156" s="378"/>
      <c r="AR156" s="378"/>
      <c r="AS156" s="378"/>
      <c r="AT156" s="378"/>
      <c r="AU156" s="378"/>
      <c r="AV156" s="378"/>
      <c r="AW156" s="378"/>
      <c r="AX156" s="378"/>
      <c r="AY156" s="378"/>
      <c r="AZ156" s="378"/>
      <c r="BA156" s="378"/>
      <c r="BB156" s="378"/>
      <c r="BC156" s="378"/>
      <c r="BD156" s="378"/>
      <c r="BE156" s="378"/>
      <c r="BF156" s="378"/>
      <c r="BG156" s="378"/>
      <c r="BH156" s="378"/>
      <c r="BI156" s="378"/>
      <c r="BJ156" s="378"/>
    </row>
    <row r="157" spans="1:62" x14ac:dyDescent="0.25">
      <c r="A157" s="378"/>
      <c r="B157" s="379"/>
      <c r="C157" s="379"/>
      <c r="D157" s="379"/>
      <c r="E157" s="418"/>
      <c r="F157" s="379"/>
      <c r="G157" s="418"/>
      <c r="H157" s="534">
        <v>0.3</v>
      </c>
      <c r="I157" s="534">
        <v>0.35</v>
      </c>
      <c r="J157" s="535">
        <f>100%-65%</f>
        <v>0.35</v>
      </c>
      <c r="K157" s="378"/>
      <c r="L157" s="378"/>
      <c r="M157" s="378"/>
      <c r="N157" s="378"/>
      <c r="O157" s="378"/>
      <c r="P157" s="378"/>
      <c r="Q157" s="378"/>
      <c r="R157" s="378"/>
      <c r="S157" s="378"/>
      <c r="T157" s="378"/>
      <c r="U157" s="378"/>
      <c r="V157" s="378"/>
      <c r="W157" s="378"/>
      <c r="X157" s="378"/>
      <c r="Y157" s="378"/>
      <c r="Z157" s="378"/>
      <c r="AA157" s="378"/>
      <c r="AB157" s="378"/>
      <c r="AC157" s="378"/>
      <c r="AD157" s="378"/>
      <c r="AE157" s="378"/>
      <c r="AF157" s="378"/>
      <c r="AG157" s="378"/>
      <c r="AH157" s="378"/>
      <c r="AI157" s="378"/>
      <c r="AJ157" s="378"/>
      <c r="AK157" s="378"/>
      <c r="AL157" s="378"/>
      <c r="AM157" s="378"/>
      <c r="AN157" s="378"/>
      <c r="AO157" s="378"/>
      <c r="AP157" s="378"/>
      <c r="AQ157" s="378"/>
      <c r="AR157" s="378"/>
      <c r="AS157" s="378"/>
      <c r="AT157" s="378"/>
      <c r="AU157" s="378"/>
      <c r="AV157" s="378"/>
      <c r="AW157" s="378"/>
      <c r="AX157" s="378"/>
      <c r="AY157" s="378"/>
      <c r="AZ157" s="378"/>
      <c r="BA157" s="378"/>
      <c r="BB157" s="378"/>
      <c r="BC157" s="378"/>
      <c r="BD157" s="378"/>
      <c r="BE157" s="378"/>
      <c r="BF157" s="378"/>
      <c r="BG157" s="378"/>
      <c r="BH157" s="378"/>
      <c r="BI157" s="378"/>
      <c r="BJ157" s="378"/>
    </row>
    <row r="158" spans="1:62" x14ac:dyDescent="0.25">
      <c r="C158" s="379"/>
      <c r="D158" s="379"/>
      <c r="E158" s="379"/>
      <c r="F158" s="379"/>
      <c r="G158" s="379"/>
      <c r="H158" s="418"/>
      <c r="I158" s="379"/>
    </row>
    <row r="159" spans="1:62" x14ac:dyDescent="0.25">
      <c r="F159" s="378" t="s">
        <v>624</v>
      </c>
      <c r="G159" s="413">
        <f>H159+I159+J159</f>
        <v>145511229.75</v>
      </c>
      <c r="H159" s="415">
        <f>H157*H152</f>
        <v>43653368.924999997</v>
      </c>
      <c r="I159" s="415">
        <f>I157*H152</f>
        <v>50928930.412499994</v>
      </c>
      <c r="J159" s="415">
        <f>H152*J157</f>
        <v>50928930.412499994</v>
      </c>
    </row>
    <row r="160" spans="1:62" x14ac:dyDescent="0.25">
      <c r="F160" s="378" t="s">
        <v>625</v>
      </c>
      <c r="G160" s="413">
        <f>G159*'Indice Inflatie-COVASNA'!I10</f>
        <v>154066488.17601511</v>
      </c>
      <c r="H160" s="415">
        <f>G160*H157</f>
        <v>46219946.452804528</v>
      </c>
      <c r="I160" s="415">
        <f>G160*I157</f>
        <v>53923270.861605287</v>
      </c>
      <c r="J160" s="415">
        <f>G160*J157</f>
        <v>53923270.861605287</v>
      </c>
    </row>
    <row r="162" spans="7:10" x14ac:dyDescent="0.25">
      <c r="H162" s="415">
        <f>H152*'Indice Inflatie-COVASNA'!I10</f>
        <v>154066488.17601511</v>
      </c>
    </row>
    <row r="163" spans="7:10" x14ac:dyDescent="0.25">
      <c r="G163" s="378" t="s">
        <v>626</v>
      </c>
      <c r="H163" s="535">
        <v>0.1845</v>
      </c>
    </row>
    <row r="164" spans="7:10" x14ac:dyDescent="0.25">
      <c r="H164" s="378">
        <f>H162*H163</f>
        <v>28425267.068474788</v>
      </c>
    </row>
    <row r="165" spans="7:10" x14ac:dyDescent="0.25">
      <c r="H165" s="537">
        <f>H162+H164</f>
        <v>182491755.24448991</v>
      </c>
    </row>
    <row r="167" spans="7:10" x14ac:dyDescent="0.25">
      <c r="H167" s="415">
        <f>H165*H157</f>
        <v>54747526.573346972</v>
      </c>
      <c r="I167" s="415">
        <f>H165*I157</f>
        <v>63872114.33557146</v>
      </c>
      <c r="J167" s="415">
        <f>H165*J157</f>
        <v>63872114.33557146</v>
      </c>
    </row>
    <row r="668" spans="1:62" x14ac:dyDescent="0.25">
      <c r="A668" s="378"/>
      <c r="C668" s="420"/>
      <c r="J668" s="378"/>
      <c r="K668" s="378"/>
      <c r="L668" s="378"/>
      <c r="M668" s="378"/>
      <c r="N668" s="378"/>
      <c r="O668" s="378"/>
      <c r="P668" s="378"/>
      <c r="Q668" s="378"/>
      <c r="R668" s="378"/>
      <c r="S668" s="378"/>
      <c r="T668" s="378"/>
      <c r="U668" s="378"/>
      <c r="V668" s="378"/>
      <c r="W668" s="378"/>
      <c r="X668" s="378"/>
      <c r="Y668" s="378"/>
      <c r="Z668" s="378"/>
      <c r="AA668" s="378"/>
      <c r="AB668" s="378"/>
      <c r="AC668" s="378"/>
      <c r="AD668" s="378"/>
      <c r="AE668" s="378"/>
      <c r="AF668" s="378"/>
      <c r="AG668" s="378"/>
      <c r="AH668" s="378"/>
      <c r="AI668" s="378"/>
      <c r="AJ668" s="378"/>
      <c r="AK668" s="378"/>
      <c r="AL668" s="378"/>
      <c r="AM668" s="378"/>
      <c r="AN668" s="378"/>
      <c r="AO668" s="378"/>
      <c r="AP668" s="378"/>
      <c r="AQ668" s="378"/>
      <c r="AR668" s="378"/>
      <c r="AS668" s="378"/>
      <c r="AT668" s="378"/>
      <c r="AU668" s="378"/>
      <c r="AV668" s="378"/>
      <c r="AW668" s="378"/>
      <c r="AX668" s="378"/>
      <c r="AY668" s="378"/>
      <c r="AZ668" s="378"/>
      <c r="BA668" s="378"/>
      <c r="BB668" s="378"/>
      <c r="BC668" s="378"/>
      <c r="BD668" s="378"/>
      <c r="BE668" s="378"/>
      <c r="BF668" s="378"/>
      <c r="BG668" s="378"/>
      <c r="BH668" s="378"/>
      <c r="BI668" s="378"/>
      <c r="BJ668" s="378"/>
    </row>
    <row r="980" spans="1:62" x14ac:dyDescent="0.25">
      <c r="A980" s="378"/>
      <c r="I980" s="378">
        <f>SUM(I981:I992)</f>
        <v>0</v>
      </c>
      <c r="J980" s="378"/>
      <c r="K980" s="378"/>
      <c r="L980" s="378"/>
      <c r="M980" s="378"/>
      <c r="N980" s="378"/>
      <c r="O980" s="378"/>
      <c r="P980" s="378"/>
      <c r="Q980" s="378"/>
      <c r="R980" s="378"/>
      <c r="S980" s="378"/>
      <c r="T980" s="378"/>
      <c r="U980" s="378"/>
      <c r="V980" s="378"/>
      <c r="W980" s="378"/>
      <c r="X980" s="378"/>
      <c r="Y980" s="378"/>
      <c r="Z980" s="378"/>
      <c r="AA980" s="378"/>
      <c r="AB980" s="378"/>
      <c r="AC980" s="378"/>
      <c r="AD980" s="378"/>
      <c r="AE980" s="378"/>
      <c r="AF980" s="378"/>
      <c r="AG980" s="378"/>
      <c r="AH980" s="378"/>
      <c r="AI980" s="378"/>
      <c r="AJ980" s="378"/>
      <c r="AK980" s="378"/>
      <c r="AL980" s="378"/>
      <c r="AM980" s="378"/>
      <c r="AN980" s="378"/>
      <c r="AO980" s="378"/>
      <c r="AP980" s="378"/>
      <c r="AQ980" s="378"/>
      <c r="AR980" s="378"/>
      <c r="AS980" s="378"/>
      <c r="AT980" s="378"/>
      <c r="AU980" s="378"/>
      <c r="AV980" s="378"/>
      <c r="AW980" s="378"/>
      <c r="AX980" s="378"/>
      <c r="AY980" s="378"/>
      <c r="AZ980" s="378"/>
      <c r="BA980" s="378"/>
      <c r="BB980" s="378"/>
      <c r="BC980" s="378"/>
      <c r="BD980" s="378"/>
      <c r="BE980" s="378"/>
      <c r="BF980" s="378"/>
      <c r="BG980" s="378"/>
      <c r="BH980" s="378"/>
      <c r="BI980" s="378"/>
      <c r="BJ980" s="378"/>
    </row>
    <row r="984" spans="1:62" x14ac:dyDescent="0.25">
      <c r="A984" s="378"/>
      <c r="I984" s="378">
        <f>G984</f>
        <v>0</v>
      </c>
      <c r="J984" s="378"/>
      <c r="K984" s="378"/>
      <c r="L984" s="378"/>
      <c r="M984" s="378"/>
      <c r="N984" s="378"/>
      <c r="O984" s="378"/>
      <c r="P984" s="378"/>
      <c r="Q984" s="378"/>
      <c r="R984" s="378"/>
      <c r="S984" s="378"/>
      <c r="T984" s="378"/>
      <c r="U984" s="378"/>
      <c r="V984" s="378"/>
      <c r="W984" s="378"/>
      <c r="X984" s="378"/>
      <c r="Y984" s="378"/>
      <c r="Z984" s="378"/>
      <c r="AA984" s="378"/>
      <c r="AB984" s="378"/>
      <c r="AC984" s="378"/>
      <c r="AD984" s="378"/>
      <c r="AE984" s="378"/>
      <c r="AF984" s="378"/>
      <c r="AG984" s="378"/>
      <c r="AH984" s="378"/>
      <c r="AI984" s="378"/>
      <c r="AJ984" s="378"/>
      <c r="AK984" s="378"/>
      <c r="AL984" s="378"/>
      <c r="AM984" s="378"/>
      <c r="AN984" s="378"/>
      <c r="AO984" s="378"/>
      <c r="AP984" s="378"/>
      <c r="AQ984" s="378"/>
      <c r="AR984" s="378"/>
      <c r="AS984" s="378"/>
      <c r="AT984" s="378"/>
      <c r="AU984" s="378"/>
      <c r="AV984" s="378"/>
      <c r="AW984" s="378"/>
      <c r="AX984" s="378"/>
      <c r="AY984" s="378"/>
      <c r="AZ984" s="378"/>
      <c r="BA984" s="378"/>
      <c r="BB984" s="378"/>
      <c r="BC984" s="378"/>
      <c r="BD984" s="378"/>
      <c r="BE984" s="378"/>
      <c r="BF984" s="378"/>
      <c r="BG984" s="378"/>
      <c r="BH984" s="378"/>
      <c r="BI984" s="378"/>
      <c r="BJ984" s="378"/>
    </row>
    <row r="985" spans="1:62" x14ac:dyDescent="0.25">
      <c r="A985" s="378"/>
      <c r="I985" s="378">
        <f>G985</f>
        <v>0</v>
      </c>
      <c r="J985" s="378"/>
      <c r="K985" s="378"/>
      <c r="L985" s="378"/>
      <c r="M985" s="378"/>
      <c r="N985" s="378"/>
      <c r="O985" s="378"/>
      <c r="P985" s="378"/>
      <c r="Q985" s="378"/>
      <c r="R985" s="378"/>
      <c r="S985" s="378"/>
      <c r="T985" s="378"/>
      <c r="U985" s="378"/>
      <c r="V985" s="378"/>
      <c r="W985" s="378"/>
      <c r="X985" s="378"/>
      <c r="Y985" s="378"/>
      <c r="Z985" s="378"/>
      <c r="AA985" s="378"/>
      <c r="AB985" s="378"/>
      <c r="AC985" s="378"/>
      <c r="AD985" s="378"/>
      <c r="AE985" s="378"/>
      <c r="AF985" s="378"/>
      <c r="AG985" s="378"/>
      <c r="AH985" s="378"/>
      <c r="AI985" s="378"/>
      <c r="AJ985" s="378"/>
      <c r="AK985" s="378"/>
      <c r="AL985" s="378"/>
      <c r="AM985" s="378"/>
      <c r="AN985" s="378"/>
      <c r="AO985" s="378"/>
      <c r="AP985" s="378"/>
      <c r="AQ985" s="378"/>
      <c r="AR985" s="378"/>
      <c r="AS985" s="378"/>
      <c r="AT985" s="378"/>
      <c r="AU985" s="378"/>
      <c r="AV985" s="378"/>
      <c r="AW985" s="378"/>
      <c r="AX985" s="378"/>
      <c r="AY985" s="378"/>
      <c r="AZ985" s="378"/>
      <c r="BA985" s="378"/>
      <c r="BB985" s="378"/>
      <c r="BC985" s="378"/>
      <c r="BD985" s="378"/>
      <c r="BE985" s="378"/>
      <c r="BF985" s="378"/>
      <c r="BG985" s="378"/>
      <c r="BH985" s="378"/>
      <c r="BI985" s="378"/>
      <c r="BJ985" s="378"/>
    </row>
    <row r="986" spans="1:62" x14ac:dyDescent="0.25">
      <c r="A986" s="378"/>
      <c r="I986" s="378">
        <f>G986</f>
        <v>0</v>
      </c>
      <c r="J986" s="378"/>
      <c r="K986" s="378"/>
      <c r="L986" s="378"/>
      <c r="M986" s="378"/>
      <c r="N986" s="378"/>
      <c r="O986" s="378"/>
      <c r="P986" s="378"/>
      <c r="Q986" s="378"/>
      <c r="R986" s="378"/>
      <c r="S986" s="378"/>
      <c r="T986" s="378"/>
      <c r="U986" s="378"/>
      <c r="V986" s="378"/>
      <c r="W986" s="378"/>
      <c r="X986" s="378"/>
      <c r="Y986" s="378"/>
      <c r="Z986" s="378"/>
      <c r="AA986" s="378"/>
      <c r="AB986" s="378"/>
      <c r="AC986" s="378"/>
      <c r="AD986" s="378"/>
      <c r="AE986" s="378"/>
      <c r="AF986" s="378"/>
      <c r="AG986" s="378"/>
      <c r="AH986" s="378"/>
      <c r="AI986" s="378"/>
      <c r="AJ986" s="378"/>
      <c r="AK986" s="378"/>
      <c r="AL986" s="378"/>
      <c r="AM986" s="378"/>
      <c r="AN986" s="378"/>
      <c r="AO986" s="378"/>
      <c r="AP986" s="378"/>
      <c r="AQ986" s="378"/>
      <c r="AR986" s="378"/>
      <c r="AS986" s="378"/>
      <c r="AT986" s="378"/>
      <c r="AU986" s="378"/>
      <c r="AV986" s="378"/>
      <c r="AW986" s="378"/>
      <c r="AX986" s="378"/>
      <c r="AY986" s="378"/>
      <c r="AZ986" s="378"/>
      <c r="BA986" s="378"/>
      <c r="BB986" s="378"/>
      <c r="BC986" s="378"/>
      <c r="BD986" s="378"/>
      <c r="BE986" s="378"/>
      <c r="BF986" s="378"/>
      <c r="BG986" s="378"/>
      <c r="BH986" s="378"/>
      <c r="BI986" s="378"/>
      <c r="BJ986" s="378"/>
    </row>
    <row r="987" spans="1:62" x14ac:dyDescent="0.25">
      <c r="A987" s="378"/>
      <c r="I987" s="378">
        <f>G987</f>
        <v>0</v>
      </c>
      <c r="J987" s="378"/>
      <c r="K987" s="378"/>
      <c r="L987" s="378"/>
      <c r="M987" s="378"/>
      <c r="N987" s="378"/>
      <c r="O987" s="378"/>
      <c r="P987" s="378"/>
      <c r="Q987" s="378"/>
      <c r="R987" s="378"/>
      <c r="S987" s="378"/>
      <c r="T987" s="378"/>
      <c r="U987" s="378"/>
      <c r="V987" s="378"/>
      <c r="W987" s="378"/>
      <c r="X987" s="378"/>
      <c r="Y987" s="378"/>
      <c r="Z987" s="378"/>
      <c r="AA987" s="378"/>
      <c r="AB987" s="378"/>
      <c r="AC987" s="378"/>
      <c r="AD987" s="378"/>
      <c r="AE987" s="378"/>
      <c r="AF987" s="378"/>
      <c r="AG987" s="378"/>
      <c r="AH987" s="378"/>
      <c r="AI987" s="378"/>
      <c r="AJ987" s="378"/>
      <c r="AK987" s="378"/>
      <c r="AL987" s="378"/>
      <c r="AM987" s="378"/>
      <c r="AN987" s="378"/>
      <c r="AO987" s="378"/>
      <c r="AP987" s="378"/>
      <c r="AQ987" s="378"/>
      <c r="AR987" s="378"/>
      <c r="AS987" s="378"/>
      <c r="AT987" s="378"/>
      <c r="AU987" s="378"/>
      <c r="AV987" s="378"/>
      <c r="AW987" s="378"/>
      <c r="AX987" s="378"/>
      <c r="AY987" s="378"/>
      <c r="AZ987" s="378"/>
      <c r="BA987" s="378"/>
      <c r="BB987" s="378"/>
      <c r="BC987" s="378"/>
      <c r="BD987" s="378"/>
      <c r="BE987" s="378"/>
      <c r="BF987" s="378"/>
      <c r="BG987" s="378"/>
      <c r="BH987" s="378"/>
      <c r="BI987" s="378"/>
      <c r="BJ987" s="378"/>
    </row>
    <row r="989" spans="1:62" x14ac:dyDescent="0.25">
      <c r="A989" s="378"/>
      <c r="I989" s="378">
        <f>G989</f>
        <v>0</v>
      </c>
      <c r="J989" s="378"/>
      <c r="K989" s="378"/>
      <c r="L989" s="378"/>
      <c r="M989" s="378"/>
      <c r="N989" s="378"/>
      <c r="O989" s="378"/>
      <c r="P989" s="378"/>
      <c r="Q989" s="378"/>
      <c r="R989" s="378"/>
      <c r="S989" s="378"/>
      <c r="T989" s="378"/>
      <c r="U989" s="378"/>
      <c r="V989" s="378"/>
      <c r="W989" s="378"/>
      <c r="X989" s="378"/>
      <c r="Y989" s="378"/>
      <c r="Z989" s="378"/>
      <c r="AA989" s="378"/>
      <c r="AB989" s="378"/>
      <c r="AC989" s="378"/>
      <c r="AD989" s="378"/>
      <c r="AE989" s="378"/>
      <c r="AF989" s="378"/>
      <c r="AG989" s="378"/>
      <c r="AH989" s="378"/>
      <c r="AI989" s="378"/>
      <c r="AJ989" s="378"/>
      <c r="AK989" s="378"/>
      <c r="AL989" s="378"/>
      <c r="AM989" s="378"/>
      <c r="AN989" s="378"/>
      <c r="AO989" s="378"/>
      <c r="AP989" s="378"/>
      <c r="AQ989" s="378"/>
      <c r="AR989" s="378"/>
      <c r="AS989" s="378"/>
      <c r="AT989" s="378"/>
      <c r="AU989" s="378"/>
      <c r="AV989" s="378"/>
      <c r="AW989" s="378"/>
      <c r="AX989" s="378"/>
      <c r="AY989" s="378"/>
      <c r="AZ989" s="378"/>
      <c r="BA989" s="378"/>
      <c r="BB989" s="378"/>
      <c r="BC989" s="378"/>
      <c r="BD989" s="378"/>
      <c r="BE989" s="378"/>
      <c r="BF989" s="378"/>
      <c r="BG989" s="378"/>
      <c r="BH989" s="378"/>
      <c r="BI989" s="378"/>
      <c r="BJ989" s="378"/>
    </row>
    <row r="990" spans="1:62" x14ac:dyDescent="0.25">
      <c r="A990" s="378"/>
      <c r="I990" s="378">
        <f>G990</f>
        <v>0</v>
      </c>
      <c r="J990" s="378"/>
      <c r="K990" s="378"/>
      <c r="L990" s="378"/>
      <c r="M990" s="378"/>
      <c r="N990" s="378"/>
      <c r="O990" s="378"/>
      <c r="P990" s="378"/>
      <c r="Q990" s="378"/>
      <c r="R990" s="378"/>
      <c r="S990" s="378"/>
      <c r="T990" s="378"/>
      <c r="U990" s="378"/>
      <c r="V990" s="378"/>
      <c r="W990" s="378"/>
      <c r="X990" s="378"/>
      <c r="Y990" s="378"/>
      <c r="Z990" s="378"/>
      <c r="AA990" s="378"/>
      <c r="AB990" s="378"/>
      <c r="AC990" s="378"/>
      <c r="AD990" s="378"/>
      <c r="AE990" s="378"/>
      <c r="AF990" s="378"/>
      <c r="AG990" s="378"/>
      <c r="AH990" s="378"/>
      <c r="AI990" s="378"/>
      <c r="AJ990" s="378"/>
      <c r="AK990" s="378"/>
      <c r="AL990" s="378"/>
      <c r="AM990" s="378"/>
      <c r="AN990" s="378"/>
      <c r="AO990" s="378"/>
      <c r="AP990" s="378"/>
      <c r="AQ990" s="378"/>
      <c r="AR990" s="378"/>
      <c r="AS990" s="378"/>
      <c r="AT990" s="378"/>
      <c r="AU990" s="378"/>
      <c r="AV990" s="378"/>
      <c r="AW990" s="378"/>
      <c r="AX990" s="378"/>
      <c r="AY990" s="378"/>
      <c r="AZ990" s="378"/>
      <c r="BA990" s="378"/>
      <c r="BB990" s="378"/>
      <c r="BC990" s="378"/>
      <c r="BD990" s="378"/>
      <c r="BE990" s="378"/>
      <c r="BF990" s="378"/>
      <c r="BG990" s="378"/>
      <c r="BH990" s="378"/>
      <c r="BI990" s="378"/>
      <c r="BJ990" s="378"/>
    </row>
    <row r="991" spans="1:62" x14ac:dyDescent="0.25">
      <c r="A991" s="378"/>
      <c r="I991" s="378">
        <f>G991</f>
        <v>0</v>
      </c>
      <c r="J991" s="378"/>
      <c r="K991" s="378"/>
      <c r="L991" s="378"/>
      <c r="M991" s="378"/>
      <c r="N991" s="378"/>
      <c r="O991" s="378"/>
      <c r="P991" s="378"/>
      <c r="Q991" s="378"/>
      <c r="R991" s="378"/>
      <c r="S991" s="378"/>
      <c r="T991" s="378"/>
      <c r="U991" s="378"/>
      <c r="V991" s="378"/>
      <c r="W991" s="378"/>
      <c r="X991" s="378"/>
      <c r="Y991" s="378"/>
      <c r="Z991" s="378"/>
      <c r="AA991" s="378"/>
      <c r="AB991" s="378"/>
      <c r="AC991" s="378"/>
      <c r="AD991" s="378"/>
      <c r="AE991" s="378"/>
      <c r="AF991" s="378"/>
      <c r="AG991" s="378"/>
      <c r="AH991" s="378"/>
      <c r="AI991" s="378"/>
      <c r="AJ991" s="378"/>
      <c r="AK991" s="378"/>
      <c r="AL991" s="378"/>
      <c r="AM991" s="378"/>
      <c r="AN991" s="378"/>
      <c r="AO991" s="378"/>
      <c r="AP991" s="378"/>
      <c r="AQ991" s="378"/>
      <c r="AR991" s="378"/>
      <c r="AS991" s="378"/>
      <c r="AT991" s="378"/>
      <c r="AU991" s="378"/>
      <c r="AV991" s="378"/>
      <c r="AW991" s="378"/>
      <c r="AX991" s="378"/>
      <c r="AY991" s="378"/>
      <c r="AZ991" s="378"/>
      <c r="BA991" s="378"/>
      <c r="BB991" s="378"/>
      <c r="BC991" s="378"/>
      <c r="BD991" s="378"/>
      <c r="BE991" s="378"/>
      <c r="BF991" s="378"/>
      <c r="BG991" s="378"/>
      <c r="BH991" s="378"/>
      <c r="BI991" s="378"/>
      <c r="BJ991" s="378"/>
    </row>
  </sheetData>
  <mergeCells count="7">
    <mergeCell ref="H8:I8"/>
    <mergeCell ref="A149:B149"/>
    <mergeCell ref="B2:F2"/>
    <mergeCell ref="C4:D4"/>
    <mergeCell ref="A8:A10"/>
    <mergeCell ref="B8:B10"/>
    <mergeCell ref="C8:C9"/>
  </mergeCells>
  <pageMargins left="0.7" right="0.7" top="0.75" bottom="0.75" header="0.3" footer="0.3"/>
  <pageSetup scale="73" fitToHeight="0" orientation="portrait" r:id="rId1"/>
  <headerFooter>
    <oddHeader>&amp;LAnexa 7.3.1 Costuri de investitie (Euro, preturi curente) pe etape si unitati administrativ teritoriale</oddHeader>
    <oddFooter>&amp;R&amp;P/&amp;N</oddFooter>
  </headerFooter>
  <rowBreaks count="3" manualBreakCount="3">
    <brk id="49" max="36" man="1"/>
    <brk id="91" max="36" man="1"/>
    <brk id="133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2:AL248"/>
  <sheetViews>
    <sheetView workbookViewId="0">
      <pane ySplit="7" topLeftCell="A8" activePane="bottomLeft" state="frozen"/>
      <selection pane="bottomLeft" activeCell="K252" sqref="K252"/>
    </sheetView>
  </sheetViews>
  <sheetFormatPr defaultRowHeight="15" x14ac:dyDescent="0.25"/>
  <cols>
    <col min="1" max="1" width="5.140625" customWidth="1"/>
    <col min="2" max="2" width="7.85546875" customWidth="1"/>
    <col min="3" max="3" width="23" customWidth="1"/>
    <col min="4" max="4" width="8.7109375" customWidth="1"/>
    <col min="5" max="5" width="9.7109375" hidden="1" customWidth="1"/>
    <col min="6" max="6" width="12.28515625" hidden="1" customWidth="1"/>
    <col min="7" max="7" width="7.5703125" hidden="1" customWidth="1"/>
    <col min="8" max="8" width="11" customWidth="1"/>
    <col min="9" max="9" width="11.5703125" customWidth="1"/>
    <col min="10" max="10" width="11.140625" customWidth="1"/>
    <col min="11" max="12" width="11.85546875" customWidth="1"/>
    <col min="13" max="13" width="11.140625" customWidth="1"/>
    <col min="14" max="14" width="11.42578125" customWidth="1"/>
    <col min="15" max="15" width="10.7109375" customWidth="1"/>
    <col min="16" max="16" width="10.5703125" customWidth="1"/>
    <col min="17" max="17" width="11" customWidth="1"/>
    <col min="18" max="18" width="10.7109375" customWidth="1"/>
    <col min="19" max="19" width="10.42578125" customWidth="1"/>
    <col min="20" max="20" width="10.140625" customWidth="1"/>
    <col min="21" max="21" width="10.42578125" customWidth="1"/>
    <col min="22" max="22" width="10.7109375" customWidth="1"/>
    <col min="23" max="24" width="10.28515625" customWidth="1"/>
    <col min="25" max="25" width="11.140625" customWidth="1"/>
    <col min="26" max="26" width="10.28515625" customWidth="1"/>
    <col min="27" max="27" width="9.85546875" customWidth="1"/>
    <col min="28" max="28" width="10.28515625" customWidth="1"/>
    <col min="29" max="29" width="10.5703125" customWidth="1"/>
    <col min="30" max="30" width="10.85546875" customWidth="1"/>
    <col min="31" max="31" width="9.85546875" customWidth="1"/>
    <col min="32" max="32" width="10.85546875" customWidth="1"/>
    <col min="33" max="33" width="10" customWidth="1"/>
    <col min="34" max="34" width="10.5703125" customWidth="1"/>
    <col min="35" max="36" width="10.140625" bestFit="1" customWidth="1"/>
    <col min="37" max="38" width="10.85546875" customWidth="1"/>
  </cols>
  <sheetData>
    <row r="2" spans="2:38" x14ac:dyDescent="0.25">
      <c r="C2" s="35" t="s">
        <v>621</v>
      </c>
    </row>
    <row r="3" spans="2:38" x14ac:dyDescent="0.25">
      <c r="C3" s="35" t="s">
        <v>274</v>
      </c>
    </row>
    <row r="5" spans="2:38" x14ac:dyDescent="0.25">
      <c r="B5" s="682"/>
      <c r="C5" s="682"/>
      <c r="D5" s="682"/>
    </row>
    <row r="6" spans="2:38" x14ac:dyDescent="0.25">
      <c r="B6" s="681" t="s">
        <v>12</v>
      </c>
      <c r="C6" s="683" t="s">
        <v>13</v>
      </c>
      <c r="D6" s="683" t="s">
        <v>272</v>
      </c>
      <c r="E6" s="684">
        <v>2010</v>
      </c>
      <c r="F6" s="680">
        <f>E6+1</f>
        <v>2011</v>
      </c>
      <c r="G6" s="680">
        <f t="shared" ref="G6:M6" si="0">F6+1</f>
        <v>2012</v>
      </c>
      <c r="H6" s="680">
        <v>2014</v>
      </c>
      <c r="I6" s="680">
        <f t="shared" si="0"/>
        <v>2015</v>
      </c>
      <c r="J6" s="680">
        <f t="shared" si="0"/>
        <v>2016</v>
      </c>
      <c r="K6" s="680">
        <f t="shared" si="0"/>
        <v>2017</v>
      </c>
      <c r="L6" s="680">
        <f t="shared" si="0"/>
        <v>2018</v>
      </c>
      <c r="M6" s="680">
        <f t="shared" si="0"/>
        <v>2019</v>
      </c>
      <c r="N6" s="680">
        <f t="shared" ref="N6" si="1">M6+1</f>
        <v>2020</v>
      </c>
      <c r="O6" s="680">
        <f t="shared" ref="O6" si="2">N6+1</f>
        <v>2021</v>
      </c>
      <c r="P6" s="680">
        <f t="shared" ref="P6" si="3">O6+1</f>
        <v>2022</v>
      </c>
      <c r="Q6" s="680">
        <f t="shared" ref="Q6" si="4">P6+1</f>
        <v>2023</v>
      </c>
      <c r="R6" s="680">
        <f t="shared" ref="R6" si="5">Q6+1</f>
        <v>2024</v>
      </c>
      <c r="S6" s="680">
        <f t="shared" ref="S6" si="6">R6+1</f>
        <v>2025</v>
      </c>
      <c r="T6" s="680">
        <f t="shared" ref="T6" si="7">S6+1</f>
        <v>2026</v>
      </c>
      <c r="U6" s="680">
        <f t="shared" ref="U6" si="8">T6+1</f>
        <v>2027</v>
      </c>
      <c r="V6" s="680">
        <f t="shared" ref="V6" si="9">U6+1</f>
        <v>2028</v>
      </c>
      <c r="W6" s="680">
        <f t="shared" ref="W6" si="10">V6+1</f>
        <v>2029</v>
      </c>
      <c r="X6" s="680">
        <f t="shared" ref="X6" si="11">W6+1</f>
        <v>2030</v>
      </c>
      <c r="Y6" s="680">
        <f t="shared" ref="Y6" si="12">X6+1</f>
        <v>2031</v>
      </c>
      <c r="Z6" s="680">
        <f t="shared" ref="Z6" si="13">Y6+1</f>
        <v>2032</v>
      </c>
      <c r="AA6" s="680">
        <f t="shared" ref="AA6" si="14">Z6+1</f>
        <v>2033</v>
      </c>
      <c r="AB6" s="680">
        <f t="shared" ref="AB6" si="15">AA6+1</f>
        <v>2034</v>
      </c>
      <c r="AC6" s="680">
        <f t="shared" ref="AC6" si="16">AB6+1</f>
        <v>2035</v>
      </c>
      <c r="AD6" s="680">
        <f t="shared" ref="AD6" si="17">AC6+1</f>
        <v>2036</v>
      </c>
      <c r="AE6" s="680">
        <f t="shared" ref="AE6" si="18">AD6+1</f>
        <v>2037</v>
      </c>
      <c r="AF6" s="680">
        <f t="shared" ref="AF6" si="19">AE6+1</f>
        <v>2038</v>
      </c>
      <c r="AG6" s="680">
        <f t="shared" ref="AG6" si="20">AF6+1</f>
        <v>2039</v>
      </c>
      <c r="AH6" s="680">
        <f t="shared" ref="AH6" si="21">AG6+1</f>
        <v>2040</v>
      </c>
      <c r="AI6" s="680">
        <f t="shared" ref="AI6" si="22">AH6+1</f>
        <v>2041</v>
      </c>
      <c r="AJ6" s="680">
        <f t="shared" ref="AJ6" si="23">AI6+1</f>
        <v>2042</v>
      </c>
      <c r="AK6" s="680">
        <f t="shared" ref="AK6" si="24">AJ6+1</f>
        <v>2043</v>
      </c>
      <c r="AL6" s="680">
        <f t="shared" ref="AL6" si="25">AK6+1</f>
        <v>2044</v>
      </c>
    </row>
    <row r="7" spans="2:38" x14ac:dyDescent="0.25">
      <c r="B7" s="681"/>
      <c r="C7" s="683"/>
      <c r="D7" s="683"/>
      <c r="E7" s="684"/>
      <c r="F7" s="680"/>
      <c r="G7" s="680"/>
      <c r="H7" s="680"/>
      <c r="I7" s="680"/>
      <c r="J7" s="680"/>
      <c r="K7" s="680"/>
      <c r="L7" s="680"/>
      <c r="M7" s="680"/>
      <c r="N7" s="680"/>
      <c r="O7" s="680"/>
      <c r="P7" s="680"/>
      <c r="Q7" s="680"/>
      <c r="R7" s="680"/>
      <c r="S7" s="680"/>
      <c r="T7" s="680"/>
      <c r="U7" s="680"/>
      <c r="V7" s="680"/>
      <c r="W7" s="680"/>
      <c r="X7" s="680"/>
      <c r="Y7" s="680"/>
      <c r="Z7" s="680"/>
      <c r="AA7" s="680"/>
      <c r="AB7" s="680"/>
      <c r="AC7" s="680"/>
      <c r="AD7" s="680"/>
      <c r="AE7" s="680"/>
      <c r="AF7" s="680"/>
      <c r="AG7" s="680"/>
      <c r="AH7" s="680"/>
      <c r="AI7" s="680"/>
      <c r="AJ7" s="680"/>
      <c r="AK7" s="680"/>
      <c r="AL7" s="680"/>
    </row>
    <row r="8" spans="2:38" ht="15.75" hidden="1" customHeight="1" x14ac:dyDescent="0.25">
      <c r="B8" s="591" t="s">
        <v>14</v>
      </c>
      <c r="C8" s="527" t="s">
        <v>15</v>
      </c>
      <c r="D8" s="592" t="s">
        <v>2</v>
      </c>
      <c r="E8" s="526" t="s">
        <v>2</v>
      </c>
      <c r="F8" s="524" t="s">
        <v>2</v>
      </c>
      <c r="G8" s="529">
        <v>0.02</v>
      </c>
      <c r="H8" s="525"/>
      <c r="I8" s="525"/>
      <c r="J8" s="525"/>
      <c r="K8" s="525"/>
      <c r="L8" s="525"/>
      <c r="M8" s="525"/>
      <c r="N8" s="525"/>
      <c r="O8" s="525"/>
      <c r="P8" s="525"/>
      <c r="Q8" s="525"/>
      <c r="R8" s="525"/>
      <c r="S8" s="525"/>
      <c r="T8" s="525"/>
      <c r="U8" s="525"/>
      <c r="V8" s="525"/>
      <c r="W8" s="525"/>
      <c r="X8" s="525"/>
      <c r="Y8" s="525"/>
      <c r="Z8" s="525"/>
      <c r="AA8" s="525"/>
      <c r="AB8" s="525"/>
      <c r="AC8" s="525"/>
      <c r="AD8" s="525"/>
      <c r="AE8" s="525"/>
      <c r="AF8" s="525"/>
      <c r="AG8" s="525"/>
      <c r="AH8" s="525"/>
      <c r="AI8" s="525"/>
      <c r="AJ8" s="525"/>
      <c r="AK8" s="525"/>
      <c r="AL8" s="525"/>
    </row>
    <row r="9" spans="2:38" ht="15.75" hidden="1" customHeight="1" x14ac:dyDescent="0.25">
      <c r="B9" s="593" t="s">
        <v>16</v>
      </c>
      <c r="C9" s="523" t="s">
        <v>17</v>
      </c>
      <c r="D9" s="594" t="s">
        <v>273</v>
      </c>
      <c r="E9" s="526">
        <v>8.9999999999999993E-3</v>
      </c>
      <c r="F9" s="524">
        <v>1.7000000000000001E-2</v>
      </c>
      <c r="G9" s="524">
        <v>2.1000000000000001E-2</v>
      </c>
      <c r="H9" s="525"/>
      <c r="I9" s="525"/>
      <c r="J9" s="525"/>
      <c r="K9" s="525"/>
      <c r="L9" s="525"/>
      <c r="M9" s="525"/>
      <c r="N9" s="525"/>
      <c r="O9" s="525"/>
      <c r="P9" s="525"/>
      <c r="Q9" s="525"/>
      <c r="R9" s="525"/>
      <c r="S9" s="525"/>
      <c r="T9" s="525"/>
      <c r="U9" s="525"/>
      <c r="V9" s="525"/>
      <c r="W9" s="525"/>
      <c r="X9" s="525"/>
      <c r="Y9" s="525"/>
      <c r="Z9" s="525"/>
      <c r="AA9" s="525"/>
      <c r="AB9" s="525"/>
      <c r="AC9" s="525"/>
      <c r="AD9" s="525"/>
      <c r="AE9" s="525"/>
      <c r="AF9" s="525"/>
      <c r="AG9" s="525"/>
      <c r="AH9" s="525"/>
      <c r="AI9" s="525"/>
      <c r="AJ9" s="525"/>
      <c r="AK9" s="525"/>
      <c r="AL9" s="525"/>
    </row>
    <row r="10" spans="2:38" ht="15.75" hidden="1" customHeight="1" x14ac:dyDescent="0.25">
      <c r="B10" s="593" t="s">
        <v>18</v>
      </c>
      <c r="C10" s="523" t="s">
        <v>19</v>
      </c>
      <c r="D10" s="594" t="s">
        <v>273</v>
      </c>
      <c r="E10" s="526">
        <f>Ipoteze!E60</f>
        <v>3.3300000000000003E-2</v>
      </c>
      <c r="F10" s="526">
        <f>Ipoteze!F60</f>
        <v>4.2999999999999997E-2</v>
      </c>
      <c r="G10" s="526">
        <f>Ipoteze!G60</f>
        <v>3.3000000000000002E-2</v>
      </c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5"/>
      <c r="W10" s="525"/>
      <c r="X10" s="525"/>
      <c r="Y10" s="525"/>
      <c r="Z10" s="525"/>
      <c r="AA10" s="525"/>
      <c r="AB10" s="525"/>
      <c r="AC10" s="525"/>
      <c r="AD10" s="525"/>
      <c r="AE10" s="525"/>
      <c r="AF10" s="525"/>
      <c r="AG10" s="525"/>
      <c r="AH10" s="525"/>
      <c r="AI10" s="525"/>
      <c r="AJ10" s="525"/>
      <c r="AK10" s="525"/>
      <c r="AL10" s="525"/>
    </row>
    <row r="11" spans="2:38" ht="15.75" hidden="1" customHeight="1" x14ac:dyDescent="0.25">
      <c r="B11" s="595" t="s">
        <v>20</v>
      </c>
      <c r="C11" s="527" t="s">
        <v>21</v>
      </c>
      <c r="D11" s="592" t="s">
        <v>2</v>
      </c>
      <c r="E11" s="528">
        <f>Ipoteze!E61</f>
        <v>1</v>
      </c>
      <c r="F11" s="528">
        <f>Ipoteze!F61</f>
        <v>1</v>
      </c>
      <c r="G11" s="528">
        <f>Ipoteze!G61</f>
        <v>1.0329999999999999</v>
      </c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5"/>
      <c r="W11" s="525"/>
      <c r="X11" s="525"/>
      <c r="Y11" s="525"/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5"/>
      <c r="AK11" s="525"/>
      <c r="AL11" s="525"/>
    </row>
    <row r="12" spans="2:38" ht="15.75" hidden="1" customHeight="1" x14ac:dyDescent="0.25">
      <c r="B12" s="593" t="s">
        <v>22</v>
      </c>
      <c r="C12" s="523" t="s">
        <v>17</v>
      </c>
      <c r="D12" s="594" t="s">
        <v>273</v>
      </c>
      <c r="E12" s="526">
        <f t="shared" ref="E12:G12" si="26">E9</f>
        <v>8.9999999999999993E-3</v>
      </c>
      <c r="F12" s="526">
        <f t="shared" si="26"/>
        <v>1.7000000000000001E-2</v>
      </c>
      <c r="G12" s="526">
        <f t="shared" si="26"/>
        <v>2.1000000000000001E-2</v>
      </c>
      <c r="H12" s="525"/>
      <c r="I12" s="525"/>
      <c r="J12" s="525"/>
      <c r="K12" s="525"/>
      <c r="L12" s="525"/>
      <c r="M12" s="525"/>
      <c r="N12" s="525"/>
      <c r="O12" s="525"/>
      <c r="P12" s="525"/>
      <c r="Q12" s="525"/>
      <c r="R12" s="525"/>
      <c r="S12" s="525"/>
      <c r="T12" s="525"/>
      <c r="U12" s="525"/>
      <c r="V12" s="525"/>
      <c r="W12" s="525"/>
      <c r="X12" s="525"/>
      <c r="Y12" s="525"/>
      <c r="Z12" s="525"/>
      <c r="AA12" s="525"/>
      <c r="AB12" s="525"/>
      <c r="AC12" s="525"/>
      <c r="AD12" s="525"/>
      <c r="AE12" s="525"/>
      <c r="AF12" s="525"/>
      <c r="AG12" s="525"/>
      <c r="AH12" s="525"/>
      <c r="AI12" s="525"/>
      <c r="AJ12" s="525"/>
      <c r="AK12" s="525"/>
      <c r="AL12" s="525"/>
    </row>
    <row r="13" spans="2:38" ht="15.75" hidden="1" customHeight="1" x14ac:dyDescent="0.25">
      <c r="B13" s="593" t="s">
        <v>23</v>
      </c>
      <c r="C13" s="523" t="s">
        <v>19</v>
      </c>
      <c r="D13" s="594" t="s">
        <v>273</v>
      </c>
      <c r="E13" s="529">
        <f>E12*E11</f>
        <v>8.9999999999999993E-3</v>
      </c>
      <c r="F13" s="529">
        <f>F12*F11</f>
        <v>1.7000000000000001E-2</v>
      </c>
      <c r="G13" s="529">
        <f>G12*G11</f>
        <v>2.1693E-2</v>
      </c>
      <c r="H13" s="525"/>
      <c r="I13" s="525"/>
      <c r="J13" s="525"/>
      <c r="K13" s="525"/>
      <c r="L13" s="525"/>
      <c r="M13" s="525"/>
      <c r="N13" s="525"/>
      <c r="O13" s="525"/>
      <c r="P13" s="525"/>
      <c r="Q13" s="525"/>
      <c r="R13" s="525"/>
      <c r="S13" s="525"/>
      <c r="T13" s="525"/>
      <c r="U13" s="525"/>
      <c r="V13" s="525"/>
      <c r="W13" s="525"/>
      <c r="X13" s="525"/>
      <c r="Y13" s="525"/>
      <c r="Z13" s="525"/>
      <c r="AA13" s="525"/>
      <c r="AB13" s="525"/>
      <c r="AC13" s="525"/>
      <c r="AD13" s="525"/>
      <c r="AE13" s="525"/>
      <c r="AF13" s="525"/>
      <c r="AG13" s="525"/>
      <c r="AH13" s="525"/>
      <c r="AI13" s="525"/>
      <c r="AJ13" s="525"/>
      <c r="AK13" s="525"/>
      <c r="AL13" s="525"/>
    </row>
    <row r="14" spans="2:38" ht="15.75" hidden="1" customHeight="1" x14ac:dyDescent="0.25">
      <c r="B14" s="591">
        <v>3</v>
      </c>
      <c r="C14" s="527" t="s">
        <v>24</v>
      </c>
      <c r="D14" s="592" t="s">
        <v>2</v>
      </c>
      <c r="E14" s="530" t="e">
        <f>D14*(1+E13)</f>
        <v>#VALUE!</v>
      </c>
      <c r="F14" s="530" t="e">
        <f>E14*(1+F13)</f>
        <v>#VALUE!</v>
      </c>
      <c r="G14" s="530" t="e">
        <f t="shared" ref="G14" si="27">F14*(1+G13)</f>
        <v>#VALUE!</v>
      </c>
      <c r="H14" s="525"/>
      <c r="I14" s="525"/>
      <c r="J14" s="525"/>
      <c r="K14" s="525"/>
      <c r="L14" s="525"/>
      <c r="M14" s="525"/>
      <c r="N14" s="525"/>
      <c r="O14" s="525"/>
      <c r="P14" s="525"/>
      <c r="Q14" s="525"/>
      <c r="R14" s="525"/>
      <c r="S14" s="525"/>
      <c r="T14" s="525"/>
      <c r="U14" s="525"/>
      <c r="V14" s="525"/>
      <c r="W14" s="525"/>
      <c r="X14" s="525"/>
      <c r="Y14" s="525"/>
      <c r="Z14" s="525"/>
      <c r="AA14" s="525"/>
      <c r="AB14" s="525"/>
      <c r="AC14" s="525"/>
      <c r="AD14" s="525"/>
      <c r="AE14" s="525"/>
      <c r="AF14" s="525"/>
      <c r="AG14" s="525"/>
      <c r="AH14" s="525"/>
      <c r="AI14" s="525"/>
      <c r="AJ14" s="525"/>
      <c r="AK14" s="525"/>
      <c r="AL14" s="525"/>
    </row>
    <row r="15" spans="2:38" ht="15.75" hidden="1" customHeight="1" x14ac:dyDescent="0.25">
      <c r="B15" s="593" t="s">
        <v>25</v>
      </c>
      <c r="C15" s="523" t="s">
        <v>17</v>
      </c>
      <c r="D15" s="594" t="s">
        <v>273</v>
      </c>
      <c r="E15" s="531" t="e">
        <f>D15*(1+E13)</f>
        <v>#VALUE!</v>
      </c>
      <c r="F15" s="531" t="e">
        <f t="shared" ref="F15:G15" si="28">E15*(1+F13)</f>
        <v>#VALUE!</v>
      </c>
      <c r="G15" s="531" t="e">
        <f t="shared" si="28"/>
        <v>#VALUE!</v>
      </c>
      <c r="H15" s="525"/>
      <c r="I15" s="525"/>
      <c r="J15" s="525"/>
      <c r="K15" s="525"/>
      <c r="L15" s="525"/>
      <c r="M15" s="525"/>
      <c r="N15" s="525"/>
      <c r="O15" s="525"/>
      <c r="P15" s="525"/>
      <c r="Q15" s="525"/>
      <c r="R15" s="525"/>
      <c r="S15" s="525"/>
      <c r="T15" s="525"/>
      <c r="U15" s="525"/>
      <c r="V15" s="525"/>
      <c r="W15" s="525"/>
      <c r="X15" s="525"/>
      <c r="Y15" s="525"/>
      <c r="Z15" s="525"/>
      <c r="AA15" s="525"/>
      <c r="AB15" s="525"/>
      <c r="AC15" s="525"/>
      <c r="AD15" s="525"/>
      <c r="AE15" s="525"/>
      <c r="AF15" s="525"/>
      <c r="AG15" s="525"/>
      <c r="AH15" s="525"/>
      <c r="AI15" s="525"/>
      <c r="AJ15" s="525"/>
      <c r="AK15" s="525"/>
      <c r="AL15" s="525"/>
    </row>
    <row r="16" spans="2:38" ht="15.75" hidden="1" customHeight="1" x14ac:dyDescent="0.25">
      <c r="B16" s="593" t="s">
        <v>26</v>
      </c>
      <c r="C16" s="523" t="s">
        <v>19</v>
      </c>
      <c r="D16" s="594" t="s">
        <v>273</v>
      </c>
      <c r="E16" s="530" t="e">
        <f>D16*(1+E13)</f>
        <v>#VALUE!</v>
      </c>
      <c r="F16" s="530" t="e">
        <f t="shared" ref="F16:G16" si="29">E16*(1+F13)</f>
        <v>#VALUE!</v>
      </c>
      <c r="G16" s="530" t="e">
        <f t="shared" si="29"/>
        <v>#VALUE!</v>
      </c>
      <c r="H16" s="525"/>
      <c r="I16" s="525"/>
      <c r="J16" s="525"/>
      <c r="K16" s="525"/>
      <c r="L16" s="525"/>
      <c r="M16" s="525"/>
      <c r="N16" s="525"/>
      <c r="O16" s="525"/>
      <c r="P16" s="525"/>
      <c r="Q16" s="525"/>
      <c r="R16" s="525"/>
      <c r="S16" s="525"/>
      <c r="T16" s="525"/>
      <c r="U16" s="525"/>
      <c r="V16" s="525"/>
      <c r="W16" s="525"/>
      <c r="X16" s="525"/>
      <c r="Y16" s="525"/>
      <c r="Z16" s="525"/>
      <c r="AA16" s="525"/>
      <c r="AB16" s="525"/>
      <c r="AC16" s="525"/>
      <c r="AD16" s="525"/>
      <c r="AE16" s="525"/>
      <c r="AF16" s="525"/>
      <c r="AG16" s="525"/>
      <c r="AH16" s="525"/>
      <c r="AI16" s="525"/>
      <c r="AJ16" s="525"/>
      <c r="AK16" s="525"/>
      <c r="AL16" s="525"/>
    </row>
    <row r="17" spans="2:38" ht="15.75" hidden="1" customHeight="1" x14ac:dyDescent="0.25">
      <c r="B17" s="591">
        <v>4</v>
      </c>
      <c r="C17" s="527" t="s">
        <v>27</v>
      </c>
      <c r="D17" s="592" t="s">
        <v>2</v>
      </c>
      <c r="E17" s="530" t="e">
        <f>D17*(1+E13)</f>
        <v>#VALUE!</v>
      </c>
      <c r="F17" s="530" t="e">
        <f t="shared" ref="F17:G17" si="30">E17*(1+F13)</f>
        <v>#VALUE!</v>
      </c>
      <c r="G17" s="530" t="e">
        <f t="shared" si="30"/>
        <v>#VALUE!</v>
      </c>
      <c r="H17" s="525"/>
      <c r="I17" s="525"/>
      <c r="J17" s="525"/>
      <c r="K17" s="525"/>
      <c r="L17" s="525"/>
      <c r="M17" s="525"/>
      <c r="N17" s="525"/>
      <c r="O17" s="525"/>
      <c r="P17" s="525"/>
      <c r="Q17" s="525"/>
      <c r="R17" s="525"/>
      <c r="S17" s="525"/>
      <c r="T17" s="525"/>
      <c r="U17" s="525"/>
      <c r="V17" s="525"/>
      <c r="W17" s="525"/>
      <c r="X17" s="525"/>
      <c r="Y17" s="525"/>
      <c r="Z17" s="525"/>
      <c r="AA17" s="525"/>
      <c r="AB17" s="525"/>
      <c r="AC17" s="525"/>
      <c r="AD17" s="525"/>
      <c r="AE17" s="525"/>
      <c r="AF17" s="525"/>
      <c r="AG17" s="525"/>
      <c r="AH17" s="525"/>
      <c r="AI17" s="525"/>
      <c r="AJ17" s="525"/>
      <c r="AK17" s="525"/>
      <c r="AL17" s="525"/>
    </row>
    <row r="18" spans="2:38" ht="15.75" hidden="1" customHeight="1" x14ac:dyDescent="0.25">
      <c r="B18" s="593" t="s">
        <v>28</v>
      </c>
      <c r="C18" s="523" t="s">
        <v>17</v>
      </c>
      <c r="D18" s="594" t="s">
        <v>273</v>
      </c>
      <c r="E18" s="530" t="e">
        <f>D18*(1+E13)</f>
        <v>#VALUE!</v>
      </c>
      <c r="F18" s="530" t="e">
        <f t="shared" ref="F18:G18" si="31">E18*(1+F13)</f>
        <v>#VALUE!</v>
      </c>
      <c r="G18" s="530" t="e">
        <f t="shared" si="31"/>
        <v>#VALUE!</v>
      </c>
      <c r="H18" s="525"/>
      <c r="I18" s="525"/>
      <c r="J18" s="525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AJ18" s="525"/>
      <c r="AK18" s="525"/>
      <c r="AL18" s="525"/>
    </row>
    <row r="19" spans="2:38" ht="15.75" hidden="1" customHeight="1" x14ac:dyDescent="0.25">
      <c r="B19" s="593" t="s">
        <v>29</v>
      </c>
      <c r="C19" s="523" t="s">
        <v>19</v>
      </c>
      <c r="D19" s="594" t="s">
        <v>273</v>
      </c>
      <c r="E19" s="530" t="e">
        <f>D19*(1+E13)</f>
        <v>#VALUE!</v>
      </c>
      <c r="F19" s="530" t="e">
        <f t="shared" ref="F19:G19" si="32">E19*(1+F13)</f>
        <v>#VALUE!</v>
      </c>
      <c r="G19" s="530" t="e">
        <f t="shared" si="32"/>
        <v>#VALUE!</v>
      </c>
      <c r="H19" s="525"/>
      <c r="I19" s="525"/>
      <c r="J19" s="525"/>
      <c r="K19" s="525"/>
      <c r="L19" s="525"/>
      <c r="M19" s="525"/>
      <c r="N19" s="525"/>
      <c r="O19" s="525"/>
      <c r="P19" s="525"/>
      <c r="Q19" s="525"/>
      <c r="R19" s="52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AJ19" s="525"/>
      <c r="AK19" s="525"/>
      <c r="AL19" s="525"/>
    </row>
    <row r="20" spans="2:38" ht="15.75" hidden="1" customHeight="1" x14ac:dyDescent="0.25">
      <c r="B20" s="595" t="s">
        <v>30</v>
      </c>
      <c r="C20" s="527" t="s">
        <v>31</v>
      </c>
      <c r="D20" s="592" t="s">
        <v>2</v>
      </c>
      <c r="E20" s="530" t="e">
        <f t="shared" ref="E20:G20" si="33">E17*4%</f>
        <v>#VALUE!</v>
      </c>
      <c r="F20" s="530" t="e">
        <f t="shared" si="33"/>
        <v>#VALUE!</v>
      </c>
      <c r="G20" s="530" t="e">
        <f t="shared" si="33"/>
        <v>#VALUE!</v>
      </c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5"/>
      <c r="AA20" s="525"/>
      <c r="AB20" s="525"/>
      <c r="AC20" s="525"/>
      <c r="AD20" s="525"/>
      <c r="AE20" s="525"/>
      <c r="AF20" s="525"/>
      <c r="AG20" s="525"/>
      <c r="AH20" s="525"/>
      <c r="AI20" s="525"/>
      <c r="AJ20" s="525"/>
      <c r="AK20" s="525"/>
      <c r="AL20" s="525"/>
    </row>
    <row r="21" spans="2:38" ht="15.75" hidden="1" customHeight="1" x14ac:dyDescent="0.25">
      <c r="B21" s="593" t="s">
        <v>32</v>
      </c>
      <c r="C21" s="523" t="s">
        <v>17</v>
      </c>
      <c r="D21" s="594" t="s">
        <v>273</v>
      </c>
      <c r="E21" s="530" t="e">
        <f t="shared" ref="E21:G21" si="34">E18*4%</f>
        <v>#VALUE!</v>
      </c>
      <c r="F21" s="530" t="e">
        <f t="shared" si="34"/>
        <v>#VALUE!</v>
      </c>
      <c r="G21" s="530" t="e">
        <f t="shared" si="34"/>
        <v>#VALUE!</v>
      </c>
      <c r="H21" s="525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25"/>
      <c r="AC21" s="525"/>
      <c r="AD21" s="525"/>
      <c r="AE21" s="525"/>
      <c r="AF21" s="525"/>
      <c r="AG21" s="525"/>
      <c r="AH21" s="525"/>
      <c r="AI21" s="525"/>
      <c r="AJ21" s="525"/>
      <c r="AK21" s="525"/>
      <c r="AL21" s="525"/>
    </row>
    <row r="22" spans="2:38" ht="15.75" hidden="1" customHeight="1" x14ac:dyDescent="0.25">
      <c r="B22" s="593" t="s">
        <v>33</v>
      </c>
      <c r="C22" s="523" t="s">
        <v>19</v>
      </c>
      <c r="D22" s="594" t="s">
        <v>273</v>
      </c>
      <c r="E22" s="530" t="e">
        <f t="shared" ref="E22:G22" si="35">E19*4%</f>
        <v>#VALUE!</v>
      </c>
      <c r="F22" s="530" t="e">
        <f t="shared" si="35"/>
        <v>#VALUE!</v>
      </c>
      <c r="G22" s="530" t="e">
        <f t="shared" si="35"/>
        <v>#VALUE!</v>
      </c>
      <c r="H22" s="525"/>
      <c r="I22" s="525"/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25"/>
      <c r="AC22" s="525"/>
      <c r="AD22" s="525"/>
      <c r="AE22" s="525"/>
      <c r="AF22" s="525"/>
      <c r="AG22" s="525"/>
      <c r="AH22" s="525"/>
      <c r="AI22" s="525"/>
      <c r="AJ22" s="525"/>
      <c r="AK22" s="525"/>
      <c r="AL22" s="525"/>
    </row>
    <row r="23" spans="2:38" ht="15.75" hidden="1" customHeight="1" x14ac:dyDescent="0.25">
      <c r="B23" s="591">
        <v>6</v>
      </c>
      <c r="C23" s="527" t="s">
        <v>34</v>
      </c>
      <c r="D23" s="592" t="s">
        <v>2</v>
      </c>
      <c r="E23" s="532" t="e">
        <f t="shared" ref="E23:G23" si="36">E14*3.5%</f>
        <v>#VALUE!</v>
      </c>
      <c r="F23" s="532" t="e">
        <f t="shared" si="36"/>
        <v>#VALUE!</v>
      </c>
      <c r="G23" s="532" t="e">
        <f t="shared" si="36"/>
        <v>#VALUE!</v>
      </c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25"/>
      <c r="AC23" s="525"/>
      <c r="AD23" s="525"/>
      <c r="AE23" s="525"/>
      <c r="AF23" s="525"/>
      <c r="AG23" s="525"/>
      <c r="AH23" s="525"/>
      <c r="AI23" s="525"/>
      <c r="AJ23" s="525"/>
      <c r="AK23" s="525"/>
      <c r="AL23" s="525"/>
    </row>
    <row r="24" spans="2:38" ht="15.75" hidden="1" customHeight="1" x14ac:dyDescent="0.25">
      <c r="B24" s="593" t="s">
        <v>35</v>
      </c>
      <c r="C24" s="523" t="s">
        <v>17</v>
      </c>
      <c r="D24" s="594" t="s">
        <v>273</v>
      </c>
      <c r="E24" s="532" t="e">
        <f t="shared" ref="E24:G24" si="37">E15*3.5%</f>
        <v>#VALUE!</v>
      </c>
      <c r="F24" s="532" t="e">
        <f t="shared" si="37"/>
        <v>#VALUE!</v>
      </c>
      <c r="G24" s="532" t="e">
        <f t="shared" si="37"/>
        <v>#VALUE!</v>
      </c>
      <c r="H24" s="525"/>
      <c r="I24" s="525"/>
      <c r="J24" s="525"/>
      <c r="K24" s="525"/>
      <c r="L24" s="525"/>
      <c r="M24" s="525"/>
      <c r="N24" s="525"/>
      <c r="O24" s="525"/>
      <c r="P24" s="525"/>
      <c r="Q24" s="525"/>
      <c r="R24" s="525"/>
      <c r="S24" s="525"/>
      <c r="T24" s="525"/>
      <c r="U24" s="525"/>
      <c r="V24" s="525"/>
      <c r="W24" s="525"/>
      <c r="X24" s="525"/>
      <c r="Y24" s="525"/>
      <c r="Z24" s="525"/>
      <c r="AA24" s="525"/>
      <c r="AB24" s="525"/>
      <c r="AC24" s="525"/>
      <c r="AD24" s="525"/>
      <c r="AE24" s="525"/>
      <c r="AF24" s="525"/>
      <c r="AG24" s="525"/>
      <c r="AH24" s="525"/>
      <c r="AI24" s="525"/>
      <c r="AJ24" s="525"/>
      <c r="AK24" s="525"/>
      <c r="AL24" s="525"/>
    </row>
    <row r="25" spans="2:38" ht="15.75" hidden="1" customHeight="1" x14ac:dyDescent="0.25">
      <c r="B25" s="593" t="s">
        <v>36</v>
      </c>
      <c r="C25" s="523" t="s">
        <v>19</v>
      </c>
      <c r="D25" s="594" t="s">
        <v>273</v>
      </c>
      <c r="E25" s="532" t="e">
        <f t="shared" ref="E25:G25" si="38">E16*3.5%</f>
        <v>#VALUE!</v>
      </c>
      <c r="F25" s="532" t="e">
        <f t="shared" si="38"/>
        <v>#VALUE!</v>
      </c>
      <c r="G25" s="532" t="e">
        <f t="shared" si="38"/>
        <v>#VALUE!</v>
      </c>
      <c r="H25" s="525"/>
      <c r="I25" s="525"/>
      <c r="J25" s="525"/>
      <c r="K25" s="525"/>
      <c r="L25" s="525"/>
      <c r="M25" s="525"/>
      <c r="N25" s="525"/>
      <c r="O25" s="525"/>
      <c r="P25" s="525"/>
      <c r="Q25" s="525"/>
      <c r="R25" s="525"/>
      <c r="S25" s="525"/>
      <c r="T25" s="525"/>
      <c r="U25" s="525"/>
      <c r="V25" s="525"/>
      <c r="W25" s="525"/>
      <c r="X25" s="525"/>
      <c r="Y25" s="525"/>
      <c r="Z25" s="525"/>
      <c r="AA25" s="525"/>
      <c r="AB25" s="525"/>
      <c r="AC25" s="525"/>
      <c r="AD25" s="525"/>
      <c r="AE25" s="525"/>
      <c r="AF25" s="525"/>
      <c r="AG25" s="525"/>
      <c r="AH25" s="525"/>
      <c r="AI25" s="525"/>
      <c r="AJ25" s="525"/>
      <c r="AK25" s="525"/>
      <c r="AL25" s="525"/>
    </row>
    <row r="26" spans="2:38" ht="15.75" hidden="1" customHeight="1" x14ac:dyDescent="0.25">
      <c r="B26" s="591">
        <v>7</v>
      </c>
      <c r="C26" s="527" t="s">
        <v>37</v>
      </c>
      <c r="D26" s="592" t="s">
        <v>2</v>
      </c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  <c r="Q26" s="525"/>
      <c r="R26" s="525"/>
      <c r="S26" s="525"/>
      <c r="T26" s="525"/>
      <c r="U26" s="525"/>
      <c r="V26" s="525"/>
      <c r="W26" s="525"/>
      <c r="X26" s="525"/>
      <c r="Y26" s="525"/>
      <c r="Z26" s="525"/>
      <c r="AA26" s="525"/>
      <c r="AB26" s="525"/>
      <c r="AC26" s="525"/>
      <c r="AD26" s="525"/>
      <c r="AE26" s="525"/>
      <c r="AF26" s="525"/>
      <c r="AG26" s="525"/>
      <c r="AH26" s="525"/>
      <c r="AI26" s="525"/>
      <c r="AJ26" s="525"/>
      <c r="AK26" s="525"/>
      <c r="AL26" s="525"/>
    </row>
    <row r="27" spans="2:38" ht="15.75" hidden="1" customHeight="1" x14ac:dyDescent="0.25">
      <c r="B27" s="593" t="s">
        <v>38</v>
      </c>
      <c r="C27" s="523" t="s">
        <v>17</v>
      </c>
      <c r="D27" s="594" t="s">
        <v>273</v>
      </c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  <c r="P27" s="525"/>
      <c r="Q27" s="525"/>
      <c r="R27" s="525"/>
      <c r="S27" s="525"/>
      <c r="T27" s="525"/>
      <c r="U27" s="525"/>
      <c r="V27" s="525"/>
      <c r="W27" s="525"/>
      <c r="X27" s="525"/>
      <c r="Y27" s="525"/>
      <c r="Z27" s="525"/>
      <c r="AA27" s="525"/>
      <c r="AB27" s="525"/>
      <c r="AC27" s="525"/>
      <c r="AD27" s="525"/>
      <c r="AE27" s="525"/>
      <c r="AF27" s="525"/>
      <c r="AG27" s="525"/>
      <c r="AH27" s="525"/>
      <c r="AI27" s="525"/>
      <c r="AJ27" s="525"/>
      <c r="AK27" s="525"/>
      <c r="AL27" s="525"/>
    </row>
    <row r="28" spans="2:38" ht="15.75" hidden="1" customHeight="1" x14ac:dyDescent="0.25">
      <c r="B28" s="593" t="s">
        <v>39</v>
      </c>
      <c r="C28" s="523" t="s">
        <v>19</v>
      </c>
      <c r="D28" s="594" t="s">
        <v>273</v>
      </c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  <c r="P28" s="525"/>
      <c r="Q28" s="525"/>
      <c r="R28" s="525"/>
      <c r="S28" s="525"/>
      <c r="T28" s="525"/>
      <c r="U28" s="525"/>
      <c r="V28" s="525"/>
      <c r="W28" s="525"/>
      <c r="X28" s="525"/>
      <c r="Y28" s="525"/>
      <c r="Z28" s="525"/>
      <c r="AA28" s="525"/>
      <c r="AB28" s="525"/>
      <c r="AC28" s="525"/>
      <c r="AD28" s="525"/>
      <c r="AE28" s="525"/>
      <c r="AF28" s="525"/>
      <c r="AG28" s="525"/>
      <c r="AH28" s="525"/>
      <c r="AI28" s="525"/>
      <c r="AJ28" s="525"/>
      <c r="AK28" s="525"/>
      <c r="AL28" s="525"/>
    </row>
    <row r="29" spans="2:38" ht="15.75" hidden="1" customHeight="1" x14ac:dyDescent="0.25">
      <c r="B29" s="595" t="s">
        <v>40</v>
      </c>
      <c r="C29" s="527" t="s">
        <v>41</v>
      </c>
      <c r="D29" s="592" t="s">
        <v>2</v>
      </c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  <c r="P29" s="525"/>
      <c r="Q29" s="525"/>
      <c r="R29" s="525"/>
      <c r="S29" s="525"/>
      <c r="T29" s="525"/>
      <c r="U29" s="525"/>
      <c r="V29" s="525"/>
      <c r="W29" s="525"/>
      <c r="X29" s="525"/>
      <c r="Y29" s="525"/>
      <c r="Z29" s="525"/>
      <c r="AA29" s="525"/>
      <c r="AB29" s="525"/>
      <c r="AC29" s="525"/>
      <c r="AD29" s="525"/>
      <c r="AE29" s="525"/>
      <c r="AF29" s="525"/>
      <c r="AG29" s="525"/>
      <c r="AH29" s="525"/>
      <c r="AI29" s="525"/>
      <c r="AJ29" s="525"/>
      <c r="AK29" s="525"/>
      <c r="AL29" s="525"/>
    </row>
    <row r="30" spans="2:38" ht="15.75" hidden="1" customHeight="1" x14ac:dyDescent="0.25">
      <c r="B30" s="593" t="s">
        <v>42</v>
      </c>
      <c r="C30" s="523" t="s">
        <v>17</v>
      </c>
      <c r="D30" s="594" t="s">
        <v>273</v>
      </c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  <c r="P30" s="525"/>
      <c r="Q30" s="525"/>
      <c r="R30" s="525"/>
      <c r="S30" s="525"/>
      <c r="T30" s="525"/>
      <c r="U30" s="525"/>
      <c r="V30" s="525"/>
      <c r="W30" s="525"/>
      <c r="X30" s="525"/>
      <c r="Y30" s="525"/>
      <c r="Z30" s="525"/>
      <c r="AA30" s="525"/>
      <c r="AB30" s="525"/>
      <c r="AC30" s="525"/>
      <c r="AD30" s="525"/>
      <c r="AE30" s="525"/>
      <c r="AF30" s="525"/>
      <c r="AG30" s="525"/>
      <c r="AH30" s="525"/>
      <c r="AI30" s="525"/>
      <c r="AJ30" s="525"/>
      <c r="AK30" s="525"/>
      <c r="AL30" s="525"/>
    </row>
    <row r="31" spans="2:38" ht="15.75" hidden="1" customHeight="1" x14ac:dyDescent="0.25">
      <c r="B31" s="593" t="s">
        <v>43</v>
      </c>
      <c r="C31" s="523" t="s">
        <v>19</v>
      </c>
      <c r="D31" s="594" t="s">
        <v>273</v>
      </c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  <c r="P31" s="525"/>
      <c r="Q31" s="525"/>
      <c r="R31" s="525"/>
      <c r="S31" s="525"/>
      <c r="T31" s="525"/>
      <c r="U31" s="525"/>
      <c r="V31" s="525"/>
      <c r="W31" s="525"/>
      <c r="X31" s="525"/>
      <c r="Y31" s="525"/>
      <c r="Z31" s="525"/>
      <c r="AA31" s="525"/>
      <c r="AB31" s="525"/>
      <c r="AC31" s="525"/>
      <c r="AD31" s="525"/>
      <c r="AE31" s="525"/>
      <c r="AF31" s="525"/>
      <c r="AG31" s="525"/>
      <c r="AH31" s="525"/>
      <c r="AI31" s="525"/>
      <c r="AJ31" s="525"/>
      <c r="AK31" s="525"/>
      <c r="AL31" s="525"/>
    </row>
    <row r="32" spans="2:38" ht="15.75" hidden="1" customHeight="1" x14ac:dyDescent="0.25">
      <c r="B32" s="591">
        <v>9</v>
      </c>
      <c r="C32" s="527" t="s">
        <v>44</v>
      </c>
      <c r="D32" s="592" t="s">
        <v>2</v>
      </c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  <c r="P32" s="525"/>
      <c r="Q32" s="525"/>
      <c r="R32" s="525"/>
      <c r="S32" s="525"/>
      <c r="T32" s="525"/>
      <c r="U32" s="525"/>
      <c r="V32" s="525"/>
      <c r="W32" s="525"/>
      <c r="X32" s="525"/>
      <c r="Y32" s="525"/>
      <c r="Z32" s="525"/>
      <c r="AA32" s="525"/>
      <c r="AB32" s="525"/>
      <c r="AC32" s="525"/>
      <c r="AD32" s="525"/>
      <c r="AE32" s="525"/>
      <c r="AF32" s="525"/>
      <c r="AG32" s="525"/>
      <c r="AH32" s="525"/>
      <c r="AI32" s="525"/>
      <c r="AJ32" s="525"/>
      <c r="AK32" s="525"/>
      <c r="AL32" s="525"/>
    </row>
    <row r="33" spans="2:38" ht="15.75" hidden="1" customHeight="1" x14ac:dyDescent="0.25">
      <c r="B33" s="593" t="s">
        <v>45</v>
      </c>
      <c r="C33" s="523" t="s">
        <v>17</v>
      </c>
      <c r="D33" s="594" t="s">
        <v>273</v>
      </c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  <c r="P33" s="525"/>
      <c r="Q33" s="525"/>
      <c r="R33" s="525"/>
      <c r="S33" s="525"/>
      <c r="T33" s="525"/>
      <c r="U33" s="525"/>
      <c r="V33" s="525"/>
      <c r="W33" s="525"/>
      <c r="X33" s="525"/>
      <c r="Y33" s="525"/>
      <c r="Z33" s="525"/>
      <c r="AA33" s="525"/>
      <c r="AB33" s="525"/>
      <c r="AC33" s="525"/>
      <c r="AD33" s="525"/>
      <c r="AE33" s="525"/>
      <c r="AF33" s="525"/>
      <c r="AG33" s="525"/>
      <c r="AH33" s="525"/>
      <c r="AI33" s="525"/>
      <c r="AJ33" s="525"/>
      <c r="AK33" s="525"/>
      <c r="AL33" s="525"/>
    </row>
    <row r="34" spans="2:38" ht="15.75" hidden="1" customHeight="1" x14ac:dyDescent="0.25">
      <c r="B34" s="593" t="s">
        <v>46</v>
      </c>
      <c r="C34" s="523" t="s">
        <v>19</v>
      </c>
      <c r="D34" s="594" t="s">
        <v>273</v>
      </c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  <c r="P34" s="525"/>
      <c r="Q34" s="525"/>
      <c r="R34" s="525"/>
      <c r="S34" s="525"/>
      <c r="T34" s="525"/>
      <c r="U34" s="525"/>
      <c r="V34" s="525"/>
      <c r="W34" s="525"/>
      <c r="X34" s="525"/>
      <c r="Y34" s="525"/>
      <c r="Z34" s="525"/>
      <c r="AA34" s="525"/>
      <c r="AB34" s="525"/>
      <c r="AC34" s="525"/>
      <c r="AD34" s="525"/>
      <c r="AE34" s="525"/>
      <c r="AF34" s="525"/>
      <c r="AG34" s="525"/>
      <c r="AH34" s="525"/>
      <c r="AI34" s="525"/>
      <c r="AJ34" s="525"/>
      <c r="AK34" s="525"/>
      <c r="AL34" s="525"/>
    </row>
    <row r="35" spans="2:38" ht="15.75" hidden="1" customHeight="1" x14ac:dyDescent="0.25">
      <c r="B35" s="595" t="s">
        <v>47</v>
      </c>
      <c r="C35" s="527" t="s">
        <v>48</v>
      </c>
      <c r="D35" s="592" t="s">
        <v>2</v>
      </c>
      <c r="E35" s="525"/>
      <c r="F35" s="525"/>
      <c r="G35" s="525"/>
      <c r="H35" s="525"/>
      <c r="I35" s="525"/>
      <c r="J35" s="525"/>
      <c r="K35" s="525"/>
      <c r="L35" s="525"/>
      <c r="M35" s="525"/>
      <c r="N35" s="525"/>
      <c r="O35" s="525"/>
      <c r="P35" s="525"/>
      <c r="Q35" s="525"/>
      <c r="R35" s="525"/>
      <c r="S35" s="525"/>
      <c r="T35" s="525"/>
      <c r="U35" s="525"/>
      <c r="V35" s="525"/>
      <c r="W35" s="525"/>
      <c r="X35" s="525"/>
      <c r="Y35" s="525"/>
      <c r="Z35" s="525"/>
      <c r="AA35" s="525"/>
      <c r="AB35" s="525"/>
      <c r="AC35" s="525"/>
      <c r="AD35" s="525"/>
      <c r="AE35" s="525"/>
      <c r="AF35" s="525"/>
      <c r="AG35" s="525"/>
      <c r="AH35" s="525"/>
      <c r="AI35" s="525"/>
      <c r="AJ35" s="525"/>
      <c r="AK35" s="525"/>
      <c r="AL35" s="525"/>
    </row>
    <row r="36" spans="2:38" ht="15.75" hidden="1" customHeight="1" x14ac:dyDescent="0.25">
      <c r="B36" s="593" t="s">
        <v>49</v>
      </c>
      <c r="C36" s="523" t="s">
        <v>17</v>
      </c>
      <c r="D36" s="594" t="s">
        <v>273</v>
      </c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  <c r="Q36" s="525"/>
      <c r="R36" s="525"/>
      <c r="S36" s="525"/>
      <c r="T36" s="525"/>
      <c r="U36" s="525"/>
      <c r="V36" s="525"/>
      <c r="W36" s="525"/>
      <c r="X36" s="525"/>
      <c r="Y36" s="525"/>
      <c r="Z36" s="525"/>
      <c r="AA36" s="525"/>
      <c r="AB36" s="525"/>
      <c r="AC36" s="525"/>
      <c r="AD36" s="525"/>
      <c r="AE36" s="525"/>
      <c r="AF36" s="525"/>
      <c r="AG36" s="525"/>
      <c r="AH36" s="525"/>
      <c r="AI36" s="525"/>
      <c r="AJ36" s="525"/>
      <c r="AK36" s="525"/>
      <c r="AL36" s="525"/>
    </row>
    <row r="37" spans="2:38" ht="15.75" hidden="1" customHeight="1" x14ac:dyDescent="0.25">
      <c r="B37" s="593" t="s">
        <v>50</v>
      </c>
      <c r="C37" s="523" t="s">
        <v>19</v>
      </c>
      <c r="D37" s="594" t="s">
        <v>273</v>
      </c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  <c r="P37" s="525"/>
      <c r="Q37" s="525"/>
      <c r="R37" s="525"/>
      <c r="S37" s="525"/>
      <c r="T37" s="525"/>
      <c r="U37" s="525"/>
      <c r="V37" s="525"/>
      <c r="W37" s="525"/>
      <c r="X37" s="525"/>
      <c r="Y37" s="525"/>
      <c r="Z37" s="525"/>
      <c r="AA37" s="525"/>
      <c r="AB37" s="525"/>
      <c r="AC37" s="525"/>
      <c r="AD37" s="525"/>
      <c r="AE37" s="525"/>
      <c r="AF37" s="525"/>
      <c r="AG37" s="525"/>
      <c r="AH37" s="525"/>
      <c r="AI37" s="525"/>
      <c r="AJ37" s="525"/>
      <c r="AK37" s="525"/>
      <c r="AL37" s="525"/>
    </row>
    <row r="38" spans="2:38" ht="15.75" hidden="1" customHeight="1" x14ac:dyDescent="0.25">
      <c r="B38" s="591">
        <v>11</v>
      </c>
      <c r="C38" s="527" t="s">
        <v>51</v>
      </c>
      <c r="D38" s="592" t="s">
        <v>2</v>
      </c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  <c r="P38" s="525"/>
      <c r="Q38" s="525"/>
      <c r="R38" s="525"/>
      <c r="S38" s="525"/>
      <c r="T38" s="525"/>
      <c r="U38" s="525"/>
      <c r="V38" s="525"/>
      <c r="W38" s="525"/>
      <c r="X38" s="525"/>
      <c r="Y38" s="525"/>
      <c r="Z38" s="525"/>
      <c r="AA38" s="525"/>
      <c r="AB38" s="525"/>
      <c r="AC38" s="525"/>
      <c r="AD38" s="525"/>
      <c r="AE38" s="525"/>
      <c r="AF38" s="525"/>
      <c r="AG38" s="525"/>
      <c r="AH38" s="525"/>
      <c r="AI38" s="525"/>
      <c r="AJ38" s="525"/>
      <c r="AK38" s="525"/>
      <c r="AL38" s="525"/>
    </row>
    <row r="39" spans="2:38" ht="15.75" hidden="1" customHeight="1" x14ac:dyDescent="0.25">
      <c r="B39" s="593" t="s">
        <v>52</v>
      </c>
      <c r="C39" s="523" t="s">
        <v>17</v>
      </c>
      <c r="D39" s="594" t="s">
        <v>273</v>
      </c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  <c r="P39" s="525"/>
      <c r="Q39" s="525"/>
      <c r="R39" s="525"/>
      <c r="S39" s="525"/>
      <c r="T39" s="525"/>
      <c r="U39" s="525"/>
      <c r="V39" s="525"/>
      <c r="W39" s="525"/>
      <c r="X39" s="525"/>
      <c r="Y39" s="525"/>
      <c r="Z39" s="525"/>
      <c r="AA39" s="525"/>
      <c r="AB39" s="525"/>
      <c r="AC39" s="525"/>
      <c r="AD39" s="525"/>
      <c r="AE39" s="525"/>
      <c r="AF39" s="525"/>
      <c r="AG39" s="525"/>
      <c r="AH39" s="525"/>
      <c r="AI39" s="525"/>
      <c r="AJ39" s="525"/>
      <c r="AK39" s="525"/>
      <c r="AL39" s="525"/>
    </row>
    <row r="40" spans="2:38" ht="15.75" hidden="1" customHeight="1" x14ac:dyDescent="0.25">
      <c r="B40" s="593" t="s">
        <v>53</v>
      </c>
      <c r="C40" s="523" t="s">
        <v>19</v>
      </c>
      <c r="D40" s="594" t="s">
        <v>273</v>
      </c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  <c r="P40" s="525"/>
      <c r="Q40" s="525"/>
      <c r="R40" s="525"/>
      <c r="S40" s="525"/>
      <c r="T40" s="525"/>
      <c r="U40" s="525"/>
      <c r="V40" s="525"/>
      <c r="W40" s="525"/>
      <c r="X40" s="525"/>
      <c r="Y40" s="525"/>
      <c r="Z40" s="525"/>
      <c r="AA40" s="525"/>
      <c r="AB40" s="525"/>
      <c r="AC40" s="525"/>
      <c r="AD40" s="525"/>
      <c r="AE40" s="525"/>
      <c r="AF40" s="525"/>
      <c r="AG40" s="525"/>
      <c r="AH40" s="525"/>
      <c r="AI40" s="525"/>
      <c r="AJ40" s="525"/>
      <c r="AK40" s="525"/>
      <c r="AL40" s="525"/>
    </row>
    <row r="41" spans="2:38" ht="15.75" hidden="1" customHeight="1" x14ac:dyDescent="0.25">
      <c r="B41" s="591">
        <v>12</v>
      </c>
      <c r="C41" s="527" t="s">
        <v>54</v>
      </c>
      <c r="D41" s="592" t="s">
        <v>2</v>
      </c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  <c r="P41" s="525"/>
      <c r="Q41" s="525"/>
      <c r="R41" s="525"/>
      <c r="S41" s="525"/>
      <c r="T41" s="525"/>
      <c r="U41" s="525"/>
      <c r="V41" s="525"/>
      <c r="W41" s="525"/>
      <c r="X41" s="525"/>
      <c r="Y41" s="525"/>
      <c r="Z41" s="525"/>
      <c r="AA41" s="525"/>
      <c r="AB41" s="525"/>
      <c r="AC41" s="525"/>
      <c r="AD41" s="525"/>
      <c r="AE41" s="525"/>
      <c r="AF41" s="525"/>
      <c r="AG41" s="525"/>
      <c r="AH41" s="525"/>
      <c r="AI41" s="525"/>
      <c r="AJ41" s="525"/>
      <c r="AK41" s="525"/>
      <c r="AL41" s="525"/>
    </row>
    <row r="42" spans="2:38" ht="15.75" hidden="1" customHeight="1" x14ac:dyDescent="0.25">
      <c r="B42" s="593" t="s">
        <v>55</v>
      </c>
      <c r="C42" s="523" t="s">
        <v>17</v>
      </c>
      <c r="D42" s="594" t="s">
        <v>273</v>
      </c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  <c r="P42" s="525"/>
      <c r="Q42" s="525"/>
      <c r="R42" s="525"/>
      <c r="S42" s="525"/>
      <c r="T42" s="525"/>
      <c r="U42" s="525"/>
      <c r="V42" s="525"/>
      <c r="W42" s="525"/>
      <c r="X42" s="525"/>
      <c r="Y42" s="525"/>
      <c r="Z42" s="525"/>
      <c r="AA42" s="525"/>
      <c r="AB42" s="525"/>
      <c r="AC42" s="525"/>
      <c r="AD42" s="525"/>
      <c r="AE42" s="525"/>
      <c r="AF42" s="525"/>
      <c r="AG42" s="525"/>
      <c r="AH42" s="525"/>
      <c r="AI42" s="525"/>
      <c r="AJ42" s="525"/>
      <c r="AK42" s="525"/>
      <c r="AL42" s="525"/>
    </row>
    <row r="43" spans="2:38" ht="15.75" hidden="1" customHeight="1" x14ac:dyDescent="0.25">
      <c r="B43" s="593" t="s">
        <v>56</v>
      </c>
      <c r="C43" s="523" t="s">
        <v>19</v>
      </c>
      <c r="D43" s="594" t="s">
        <v>273</v>
      </c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  <c r="P43" s="525"/>
      <c r="Q43" s="525"/>
      <c r="R43" s="525"/>
      <c r="S43" s="525"/>
      <c r="T43" s="525"/>
      <c r="U43" s="525"/>
      <c r="V43" s="525"/>
      <c r="W43" s="525"/>
      <c r="X43" s="525"/>
      <c r="Y43" s="525"/>
      <c r="Z43" s="525"/>
      <c r="AA43" s="525"/>
      <c r="AB43" s="525"/>
      <c r="AC43" s="525"/>
      <c r="AD43" s="525"/>
      <c r="AE43" s="525"/>
      <c r="AF43" s="525"/>
      <c r="AG43" s="525"/>
      <c r="AH43" s="525"/>
      <c r="AI43" s="525"/>
      <c r="AJ43" s="525"/>
      <c r="AK43" s="525"/>
      <c r="AL43" s="525"/>
    </row>
    <row r="44" spans="2:38" ht="15.75" hidden="1" customHeight="1" x14ac:dyDescent="0.25">
      <c r="B44" s="595" t="s">
        <v>57</v>
      </c>
      <c r="C44" s="527" t="s">
        <v>58</v>
      </c>
      <c r="D44" s="592" t="s">
        <v>2</v>
      </c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  <c r="P44" s="525"/>
      <c r="Q44" s="525"/>
      <c r="R44" s="525"/>
      <c r="S44" s="525"/>
      <c r="T44" s="525"/>
      <c r="U44" s="525"/>
      <c r="V44" s="525"/>
      <c r="W44" s="525"/>
      <c r="X44" s="525"/>
      <c r="Y44" s="525"/>
      <c r="Z44" s="525"/>
      <c r="AA44" s="525"/>
      <c r="AB44" s="525"/>
      <c r="AC44" s="525"/>
      <c r="AD44" s="525"/>
      <c r="AE44" s="525"/>
      <c r="AF44" s="525"/>
      <c r="AG44" s="525"/>
      <c r="AH44" s="525"/>
      <c r="AI44" s="525"/>
      <c r="AJ44" s="525"/>
      <c r="AK44" s="525"/>
      <c r="AL44" s="525"/>
    </row>
    <row r="45" spans="2:38" ht="15.75" hidden="1" customHeight="1" x14ac:dyDescent="0.25">
      <c r="B45" s="593" t="s">
        <v>59</v>
      </c>
      <c r="C45" s="523" t="s">
        <v>17</v>
      </c>
      <c r="D45" s="594" t="s">
        <v>273</v>
      </c>
      <c r="E45" s="525"/>
      <c r="F45" s="525"/>
      <c r="G45" s="525"/>
      <c r="H45" s="525"/>
      <c r="I45" s="525"/>
      <c r="J45" s="525"/>
      <c r="K45" s="525"/>
      <c r="L45" s="525"/>
      <c r="M45" s="525"/>
      <c r="N45" s="525"/>
      <c r="O45" s="525"/>
      <c r="P45" s="525"/>
      <c r="Q45" s="525"/>
      <c r="R45" s="525"/>
      <c r="S45" s="525"/>
      <c r="T45" s="525"/>
      <c r="U45" s="525"/>
      <c r="V45" s="525"/>
      <c r="W45" s="525"/>
      <c r="X45" s="525"/>
      <c r="Y45" s="525"/>
      <c r="Z45" s="525"/>
      <c r="AA45" s="525"/>
      <c r="AB45" s="525"/>
      <c r="AC45" s="525"/>
      <c r="AD45" s="525"/>
      <c r="AE45" s="525"/>
      <c r="AF45" s="525"/>
      <c r="AG45" s="525"/>
      <c r="AH45" s="525"/>
      <c r="AI45" s="525"/>
      <c r="AJ45" s="525"/>
      <c r="AK45" s="525"/>
      <c r="AL45" s="525"/>
    </row>
    <row r="46" spans="2:38" ht="15.75" hidden="1" customHeight="1" x14ac:dyDescent="0.25">
      <c r="B46" s="593" t="s">
        <v>60</v>
      </c>
      <c r="C46" s="523" t="s">
        <v>19</v>
      </c>
      <c r="D46" s="594" t="s">
        <v>273</v>
      </c>
      <c r="E46" s="525"/>
      <c r="F46" s="525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25"/>
      <c r="R46" s="525"/>
      <c r="S46" s="525"/>
      <c r="T46" s="525"/>
      <c r="U46" s="525"/>
      <c r="V46" s="525"/>
      <c r="W46" s="525"/>
      <c r="X46" s="525"/>
      <c r="Y46" s="525"/>
      <c r="Z46" s="525"/>
      <c r="AA46" s="525"/>
      <c r="AB46" s="525"/>
      <c r="AC46" s="525"/>
      <c r="AD46" s="525"/>
      <c r="AE46" s="525"/>
      <c r="AF46" s="525"/>
      <c r="AG46" s="525"/>
      <c r="AH46" s="525"/>
      <c r="AI46" s="525"/>
      <c r="AJ46" s="525"/>
      <c r="AK46" s="525"/>
      <c r="AL46" s="525"/>
    </row>
    <row r="47" spans="2:38" ht="15.75" hidden="1" customHeight="1" x14ac:dyDescent="0.25">
      <c r="B47" s="591">
        <v>14</v>
      </c>
      <c r="C47" s="527" t="s">
        <v>61</v>
      </c>
      <c r="D47" s="592" t="s">
        <v>2</v>
      </c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25"/>
      <c r="R47" s="525"/>
      <c r="S47" s="525"/>
      <c r="T47" s="525"/>
      <c r="U47" s="525"/>
      <c r="V47" s="525"/>
      <c r="W47" s="525"/>
      <c r="X47" s="525"/>
      <c r="Y47" s="525"/>
      <c r="Z47" s="525"/>
      <c r="AA47" s="525"/>
      <c r="AB47" s="525"/>
      <c r="AC47" s="525"/>
      <c r="AD47" s="525"/>
      <c r="AE47" s="525"/>
      <c r="AF47" s="525"/>
      <c r="AG47" s="525"/>
      <c r="AH47" s="525"/>
      <c r="AI47" s="525"/>
      <c r="AJ47" s="525"/>
      <c r="AK47" s="525"/>
      <c r="AL47" s="525"/>
    </row>
    <row r="48" spans="2:38" ht="15.75" hidden="1" customHeight="1" x14ac:dyDescent="0.25">
      <c r="B48" s="593" t="s">
        <v>62</v>
      </c>
      <c r="C48" s="523" t="s">
        <v>17</v>
      </c>
      <c r="D48" s="594" t="s">
        <v>273</v>
      </c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25"/>
      <c r="R48" s="525"/>
      <c r="S48" s="525"/>
      <c r="T48" s="525"/>
      <c r="U48" s="525"/>
      <c r="V48" s="525"/>
      <c r="W48" s="525"/>
      <c r="X48" s="525"/>
      <c r="Y48" s="525"/>
      <c r="Z48" s="525"/>
      <c r="AA48" s="525"/>
      <c r="AB48" s="525"/>
      <c r="AC48" s="525"/>
      <c r="AD48" s="525"/>
      <c r="AE48" s="525"/>
      <c r="AF48" s="525"/>
      <c r="AG48" s="525"/>
      <c r="AH48" s="525"/>
      <c r="AI48" s="525"/>
      <c r="AJ48" s="525"/>
      <c r="AK48" s="525"/>
      <c r="AL48" s="525"/>
    </row>
    <row r="49" spans="2:38" ht="15.75" hidden="1" customHeight="1" x14ac:dyDescent="0.25">
      <c r="B49" s="593" t="s">
        <v>63</v>
      </c>
      <c r="C49" s="523" t="s">
        <v>19</v>
      </c>
      <c r="D49" s="594" t="s">
        <v>273</v>
      </c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525"/>
      <c r="S49" s="525"/>
      <c r="T49" s="525"/>
      <c r="U49" s="525"/>
      <c r="V49" s="525"/>
      <c r="W49" s="525"/>
      <c r="X49" s="525"/>
      <c r="Y49" s="525"/>
      <c r="Z49" s="525"/>
      <c r="AA49" s="525"/>
      <c r="AB49" s="525"/>
      <c r="AC49" s="525"/>
      <c r="AD49" s="525"/>
      <c r="AE49" s="525"/>
      <c r="AF49" s="525"/>
      <c r="AG49" s="525"/>
      <c r="AH49" s="525"/>
      <c r="AI49" s="525"/>
      <c r="AJ49" s="525"/>
      <c r="AK49" s="525"/>
      <c r="AL49" s="525"/>
    </row>
    <row r="50" spans="2:38" ht="15.75" hidden="1" customHeight="1" x14ac:dyDescent="0.25">
      <c r="B50" s="591">
        <v>15</v>
      </c>
      <c r="C50" s="527" t="s">
        <v>64</v>
      </c>
      <c r="D50" s="592" t="s">
        <v>2</v>
      </c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  <c r="P50" s="525"/>
      <c r="Q50" s="525"/>
      <c r="R50" s="525"/>
      <c r="S50" s="525"/>
      <c r="T50" s="525"/>
      <c r="U50" s="525"/>
      <c r="V50" s="525"/>
      <c r="W50" s="525"/>
      <c r="X50" s="525"/>
      <c r="Y50" s="525"/>
      <c r="Z50" s="525"/>
      <c r="AA50" s="525"/>
      <c r="AB50" s="525"/>
      <c r="AC50" s="525"/>
      <c r="AD50" s="525"/>
      <c r="AE50" s="525"/>
      <c r="AF50" s="525"/>
      <c r="AG50" s="525"/>
      <c r="AH50" s="525"/>
      <c r="AI50" s="525"/>
      <c r="AJ50" s="525"/>
      <c r="AK50" s="525"/>
      <c r="AL50" s="525"/>
    </row>
    <row r="51" spans="2:38" ht="15.75" hidden="1" customHeight="1" x14ac:dyDescent="0.25">
      <c r="B51" s="593" t="s">
        <v>65</v>
      </c>
      <c r="C51" s="523" t="s">
        <v>17</v>
      </c>
      <c r="D51" s="594" t="s">
        <v>273</v>
      </c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  <c r="P51" s="525"/>
      <c r="Q51" s="525"/>
      <c r="R51" s="525"/>
      <c r="S51" s="525"/>
      <c r="T51" s="525"/>
      <c r="U51" s="525"/>
      <c r="V51" s="525"/>
      <c r="W51" s="525"/>
      <c r="X51" s="525"/>
      <c r="Y51" s="525"/>
      <c r="Z51" s="525"/>
      <c r="AA51" s="525"/>
      <c r="AB51" s="525"/>
      <c r="AC51" s="525"/>
      <c r="AD51" s="525"/>
      <c r="AE51" s="525"/>
      <c r="AF51" s="525"/>
      <c r="AG51" s="525"/>
      <c r="AH51" s="525"/>
      <c r="AI51" s="525"/>
      <c r="AJ51" s="525"/>
      <c r="AK51" s="525"/>
      <c r="AL51" s="525"/>
    </row>
    <row r="52" spans="2:38" ht="15.75" hidden="1" customHeight="1" x14ac:dyDescent="0.25">
      <c r="B52" s="593" t="s">
        <v>66</v>
      </c>
      <c r="C52" s="523" t="s">
        <v>19</v>
      </c>
      <c r="D52" s="594" t="s">
        <v>273</v>
      </c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  <c r="P52" s="525"/>
      <c r="Q52" s="525"/>
      <c r="R52" s="525"/>
      <c r="S52" s="525"/>
      <c r="T52" s="525"/>
      <c r="U52" s="525"/>
      <c r="V52" s="525"/>
      <c r="W52" s="525"/>
      <c r="X52" s="525"/>
      <c r="Y52" s="525"/>
      <c r="Z52" s="525"/>
      <c r="AA52" s="525"/>
      <c r="AB52" s="525"/>
      <c r="AC52" s="525"/>
      <c r="AD52" s="525"/>
      <c r="AE52" s="525"/>
      <c r="AF52" s="525"/>
      <c r="AG52" s="525"/>
      <c r="AH52" s="525"/>
      <c r="AI52" s="525"/>
      <c r="AJ52" s="525"/>
      <c r="AK52" s="525"/>
      <c r="AL52" s="525"/>
    </row>
    <row r="53" spans="2:38" ht="15.75" hidden="1" customHeight="1" x14ac:dyDescent="0.25">
      <c r="B53" s="595" t="s">
        <v>67</v>
      </c>
      <c r="C53" s="527" t="s">
        <v>68</v>
      </c>
      <c r="D53" s="592" t="s">
        <v>2</v>
      </c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  <c r="P53" s="525"/>
      <c r="Q53" s="525"/>
      <c r="R53" s="525"/>
      <c r="S53" s="525"/>
      <c r="T53" s="525"/>
      <c r="U53" s="525"/>
      <c r="V53" s="525"/>
      <c r="W53" s="525"/>
      <c r="X53" s="525"/>
      <c r="Y53" s="525"/>
      <c r="Z53" s="525"/>
      <c r="AA53" s="525"/>
      <c r="AB53" s="525"/>
      <c r="AC53" s="525"/>
      <c r="AD53" s="525"/>
      <c r="AE53" s="525"/>
      <c r="AF53" s="525"/>
      <c r="AG53" s="525"/>
      <c r="AH53" s="525"/>
      <c r="AI53" s="525"/>
      <c r="AJ53" s="525"/>
      <c r="AK53" s="525"/>
      <c r="AL53" s="525"/>
    </row>
    <row r="54" spans="2:38" ht="15.75" hidden="1" customHeight="1" x14ac:dyDescent="0.25">
      <c r="B54" s="593" t="s">
        <v>69</v>
      </c>
      <c r="C54" s="523" t="s">
        <v>17</v>
      </c>
      <c r="D54" s="594" t="s">
        <v>273</v>
      </c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  <c r="P54" s="525"/>
      <c r="Q54" s="525"/>
      <c r="R54" s="525"/>
      <c r="S54" s="525"/>
      <c r="T54" s="525"/>
      <c r="U54" s="525"/>
      <c r="V54" s="525"/>
      <c r="W54" s="525"/>
      <c r="X54" s="525"/>
      <c r="Y54" s="525"/>
      <c r="Z54" s="525"/>
      <c r="AA54" s="525"/>
      <c r="AB54" s="525"/>
      <c r="AC54" s="525"/>
      <c r="AD54" s="525"/>
      <c r="AE54" s="525"/>
      <c r="AF54" s="525"/>
      <c r="AG54" s="525"/>
      <c r="AH54" s="525"/>
      <c r="AI54" s="525"/>
      <c r="AJ54" s="525"/>
      <c r="AK54" s="525"/>
      <c r="AL54" s="525"/>
    </row>
    <row r="55" spans="2:38" ht="15.75" hidden="1" customHeight="1" x14ac:dyDescent="0.25">
      <c r="B55" s="593" t="s">
        <v>70</v>
      </c>
      <c r="C55" s="523" t="s">
        <v>19</v>
      </c>
      <c r="D55" s="594" t="s">
        <v>273</v>
      </c>
      <c r="E55" s="525"/>
      <c r="F55" s="525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25"/>
      <c r="R55" s="525"/>
      <c r="S55" s="525"/>
      <c r="T55" s="525"/>
      <c r="U55" s="525"/>
      <c r="V55" s="525"/>
      <c r="W55" s="525"/>
      <c r="X55" s="525"/>
      <c r="Y55" s="525"/>
      <c r="Z55" s="525"/>
      <c r="AA55" s="525"/>
      <c r="AB55" s="525"/>
      <c r="AC55" s="525"/>
      <c r="AD55" s="525"/>
      <c r="AE55" s="525"/>
      <c r="AF55" s="525"/>
      <c r="AG55" s="525"/>
      <c r="AH55" s="525"/>
      <c r="AI55" s="525"/>
      <c r="AJ55" s="525"/>
      <c r="AK55" s="525"/>
      <c r="AL55" s="525"/>
    </row>
    <row r="56" spans="2:38" ht="15.75" hidden="1" customHeight="1" x14ac:dyDescent="0.25">
      <c r="B56" s="591">
        <v>17</v>
      </c>
      <c r="C56" s="527" t="s">
        <v>71</v>
      </c>
      <c r="D56" s="592" t="s">
        <v>2</v>
      </c>
      <c r="E56" s="525"/>
      <c r="F56" s="525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25"/>
      <c r="R56" s="525"/>
      <c r="S56" s="525"/>
      <c r="T56" s="525"/>
      <c r="U56" s="525"/>
      <c r="V56" s="525"/>
      <c r="W56" s="525"/>
      <c r="X56" s="525"/>
      <c r="Y56" s="525"/>
      <c r="Z56" s="525"/>
      <c r="AA56" s="525"/>
      <c r="AB56" s="525"/>
      <c r="AC56" s="525"/>
      <c r="AD56" s="525"/>
      <c r="AE56" s="525"/>
      <c r="AF56" s="525"/>
      <c r="AG56" s="525"/>
      <c r="AH56" s="525"/>
      <c r="AI56" s="525"/>
      <c r="AJ56" s="525"/>
      <c r="AK56" s="525"/>
      <c r="AL56" s="525"/>
    </row>
    <row r="57" spans="2:38" ht="15.75" hidden="1" customHeight="1" x14ac:dyDescent="0.25">
      <c r="B57" s="593" t="s">
        <v>72</v>
      </c>
      <c r="C57" s="523" t="s">
        <v>17</v>
      </c>
      <c r="D57" s="594" t="s">
        <v>273</v>
      </c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  <c r="P57" s="525"/>
      <c r="Q57" s="525"/>
      <c r="R57" s="525"/>
      <c r="S57" s="525"/>
      <c r="T57" s="525"/>
      <c r="U57" s="525"/>
      <c r="V57" s="525"/>
      <c r="W57" s="525"/>
      <c r="X57" s="525"/>
      <c r="Y57" s="525"/>
      <c r="Z57" s="525"/>
      <c r="AA57" s="525"/>
      <c r="AB57" s="525"/>
      <c r="AC57" s="525"/>
      <c r="AD57" s="525"/>
      <c r="AE57" s="525"/>
      <c r="AF57" s="525"/>
      <c r="AG57" s="525"/>
      <c r="AH57" s="525"/>
      <c r="AI57" s="525"/>
      <c r="AJ57" s="525"/>
      <c r="AK57" s="525"/>
      <c r="AL57" s="525"/>
    </row>
    <row r="58" spans="2:38" ht="15.75" hidden="1" customHeight="1" x14ac:dyDescent="0.25">
      <c r="B58" s="593" t="s">
        <v>73</v>
      </c>
      <c r="C58" s="523" t="s">
        <v>19</v>
      </c>
      <c r="D58" s="594" t="s">
        <v>273</v>
      </c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  <c r="P58" s="525"/>
      <c r="Q58" s="525"/>
      <c r="R58" s="525"/>
      <c r="S58" s="525"/>
      <c r="T58" s="525"/>
      <c r="U58" s="525"/>
      <c r="V58" s="525"/>
      <c r="W58" s="525"/>
      <c r="X58" s="525"/>
      <c r="Y58" s="525"/>
      <c r="Z58" s="525"/>
      <c r="AA58" s="525"/>
      <c r="AB58" s="525"/>
      <c r="AC58" s="525"/>
      <c r="AD58" s="525"/>
      <c r="AE58" s="525"/>
      <c r="AF58" s="525"/>
      <c r="AG58" s="525"/>
      <c r="AH58" s="525"/>
      <c r="AI58" s="525"/>
      <c r="AJ58" s="525"/>
      <c r="AK58" s="525"/>
      <c r="AL58" s="525"/>
    </row>
    <row r="59" spans="2:38" ht="15.75" hidden="1" customHeight="1" x14ac:dyDescent="0.25">
      <c r="B59" s="591">
        <v>18</v>
      </c>
      <c r="C59" s="527" t="s">
        <v>74</v>
      </c>
      <c r="D59" s="592" t="s">
        <v>2</v>
      </c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  <c r="P59" s="525"/>
      <c r="Q59" s="525"/>
      <c r="R59" s="525"/>
      <c r="S59" s="525"/>
      <c r="T59" s="525"/>
      <c r="U59" s="525"/>
      <c r="V59" s="525"/>
      <c r="W59" s="525"/>
      <c r="X59" s="525"/>
      <c r="Y59" s="525"/>
      <c r="Z59" s="525"/>
      <c r="AA59" s="525"/>
      <c r="AB59" s="525"/>
      <c r="AC59" s="525"/>
      <c r="AD59" s="525"/>
      <c r="AE59" s="525"/>
      <c r="AF59" s="525"/>
      <c r="AG59" s="525"/>
      <c r="AH59" s="525"/>
      <c r="AI59" s="525"/>
      <c r="AJ59" s="525"/>
      <c r="AK59" s="525"/>
      <c r="AL59" s="525"/>
    </row>
    <row r="60" spans="2:38" ht="15.75" hidden="1" customHeight="1" x14ac:dyDescent="0.25">
      <c r="B60" s="593" t="s">
        <v>75</v>
      </c>
      <c r="C60" s="523" t="s">
        <v>17</v>
      </c>
      <c r="D60" s="594" t="s">
        <v>273</v>
      </c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  <c r="P60" s="525"/>
      <c r="Q60" s="525"/>
      <c r="R60" s="525"/>
      <c r="S60" s="525"/>
      <c r="T60" s="525"/>
      <c r="U60" s="525"/>
      <c r="V60" s="525"/>
      <c r="W60" s="525"/>
      <c r="X60" s="525"/>
      <c r="Y60" s="525"/>
      <c r="Z60" s="525"/>
      <c r="AA60" s="525"/>
      <c r="AB60" s="525"/>
      <c r="AC60" s="525"/>
      <c r="AD60" s="525"/>
      <c r="AE60" s="525"/>
      <c r="AF60" s="525"/>
      <c r="AG60" s="525"/>
      <c r="AH60" s="525"/>
      <c r="AI60" s="525"/>
      <c r="AJ60" s="525"/>
      <c r="AK60" s="525"/>
      <c r="AL60" s="525"/>
    </row>
    <row r="61" spans="2:38" ht="15.75" hidden="1" customHeight="1" x14ac:dyDescent="0.25">
      <c r="B61" s="593" t="s">
        <v>76</v>
      </c>
      <c r="C61" s="523" t="s">
        <v>19</v>
      </c>
      <c r="D61" s="594" t="s">
        <v>273</v>
      </c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  <c r="P61" s="525"/>
      <c r="Q61" s="525"/>
      <c r="R61" s="525"/>
      <c r="S61" s="525"/>
      <c r="T61" s="525"/>
      <c r="U61" s="525"/>
      <c r="V61" s="525"/>
      <c r="W61" s="525"/>
      <c r="X61" s="525"/>
      <c r="Y61" s="525"/>
      <c r="Z61" s="525"/>
      <c r="AA61" s="525"/>
      <c r="AB61" s="525"/>
      <c r="AC61" s="525"/>
      <c r="AD61" s="525"/>
      <c r="AE61" s="525"/>
      <c r="AF61" s="525"/>
      <c r="AG61" s="525"/>
      <c r="AH61" s="525"/>
      <c r="AI61" s="525"/>
      <c r="AJ61" s="525"/>
      <c r="AK61" s="525"/>
      <c r="AL61" s="525"/>
    </row>
    <row r="62" spans="2:38" ht="15.75" hidden="1" customHeight="1" x14ac:dyDescent="0.25">
      <c r="B62" s="595" t="s">
        <v>77</v>
      </c>
      <c r="C62" s="527" t="s">
        <v>78</v>
      </c>
      <c r="D62" s="592" t="s">
        <v>2</v>
      </c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  <c r="P62" s="525"/>
      <c r="Q62" s="525"/>
      <c r="R62" s="525"/>
      <c r="S62" s="525"/>
      <c r="T62" s="525"/>
      <c r="U62" s="525"/>
      <c r="V62" s="525"/>
      <c r="W62" s="525"/>
      <c r="X62" s="525"/>
      <c r="Y62" s="525"/>
      <c r="Z62" s="525"/>
      <c r="AA62" s="525"/>
      <c r="AB62" s="525"/>
      <c r="AC62" s="525"/>
      <c r="AD62" s="525"/>
      <c r="AE62" s="525"/>
      <c r="AF62" s="525"/>
      <c r="AG62" s="525"/>
      <c r="AH62" s="525"/>
      <c r="AI62" s="525"/>
      <c r="AJ62" s="525"/>
      <c r="AK62" s="525"/>
      <c r="AL62" s="525"/>
    </row>
    <row r="63" spans="2:38" ht="15.75" hidden="1" customHeight="1" x14ac:dyDescent="0.25">
      <c r="B63" s="593" t="s">
        <v>79</v>
      </c>
      <c r="C63" s="523" t="s">
        <v>17</v>
      </c>
      <c r="D63" s="594" t="s">
        <v>273</v>
      </c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  <c r="P63" s="525"/>
      <c r="Q63" s="525"/>
      <c r="R63" s="525"/>
      <c r="S63" s="525"/>
      <c r="T63" s="525"/>
      <c r="U63" s="525"/>
      <c r="V63" s="525"/>
      <c r="W63" s="525"/>
      <c r="X63" s="525"/>
      <c r="Y63" s="525"/>
      <c r="Z63" s="525"/>
      <c r="AA63" s="525"/>
      <c r="AB63" s="525"/>
      <c r="AC63" s="525"/>
      <c r="AD63" s="525"/>
      <c r="AE63" s="525"/>
      <c r="AF63" s="525"/>
      <c r="AG63" s="525"/>
      <c r="AH63" s="525"/>
      <c r="AI63" s="525"/>
      <c r="AJ63" s="525"/>
      <c r="AK63" s="525"/>
      <c r="AL63" s="525"/>
    </row>
    <row r="64" spans="2:38" ht="15.75" hidden="1" customHeight="1" x14ac:dyDescent="0.25">
      <c r="B64" s="593" t="s">
        <v>80</v>
      </c>
      <c r="C64" s="523" t="s">
        <v>19</v>
      </c>
      <c r="D64" s="594" t="s">
        <v>273</v>
      </c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  <c r="P64" s="525"/>
      <c r="Q64" s="525"/>
      <c r="R64" s="525"/>
      <c r="S64" s="525"/>
      <c r="T64" s="525"/>
      <c r="U64" s="525"/>
      <c r="V64" s="525"/>
      <c r="W64" s="525"/>
      <c r="X64" s="525"/>
      <c r="Y64" s="525"/>
      <c r="Z64" s="525"/>
      <c r="AA64" s="525"/>
      <c r="AB64" s="525"/>
      <c r="AC64" s="525"/>
      <c r="AD64" s="525"/>
      <c r="AE64" s="525"/>
      <c r="AF64" s="525"/>
      <c r="AG64" s="525"/>
      <c r="AH64" s="525"/>
      <c r="AI64" s="525"/>
      <c r="AJ64" s="525"/>
      <c r="AK64" s="525"/>
      <c r="AL64" s="525"/>
    </row>
    <row r="65" spans="2:38" ht="15.75" hidden="1" customHeight="1" x14ac:dyDescent="0.25">
      <c r="B65" s="591">
        <v>20</v>
      </c>
      <c r="C65" s="527" t="s">
        <v>81</v>
      </c>
      <c r="D65" s="592" t="s">
        <v>2</v>
      </c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  <c r="P65" s="525"/>
      <c r="Q65" s="525"/>
      <c r="R65" s="525"/>
      <c r="S65" s="525"/>
      <c r="T65" s="525"/>
      <c r="U65" s="525"/>
      <c r="V65" s="525"/>
      <c r="W65" s="525"/>
      <c r="X65" s="525"/>
      <c r="Y65" s="525"/>
      <c r="Z65" s="525"/>
      <c r="AA65" s="525"/>
      <c r="AB65" s="525"/>
      <c r="AC65" s="525"/>
      <c r="AD65" s="525"/>
      <c r="AE65" s="525"/>
      <c r="AF65" s="525"/>
      <c r="AG65" s="525"/>
      <c r="AH65" s="525"/>
      <c r="AI65" s="525"/>
      <c r="AJ65" s="525"/>
      <c r="AK65" s="525"/>
      <c r="AL65" s="525"/>
    </row>
    <row r="66" spans="2:38" ht="15.75" hidden="1" customHeight="1" x14ac:dyDescent="0.25">
      <c r="B66" s="593" t="s">
        <v>82</v>
      </c>
      <c r="C66" s="523" t="s">
        <v>17</v>
      </c>
      <c r="D66" s="594" t="s">
        <v>273</v>
      </c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  <c r="P66" s="525"/>
      <c r="Q66" s="525"/>
      <c r="R66" s="525"/>
      <c r="S66" s="525"/>
      <c r="T66" s="525"/>
      <c r="U66" s="525"/>
      <c r="V66" s="525"/>
      <c r="W66" s="525"/>
      <c r="X66" s="525"/>
      <c r="Y66" s="525"/>
      <c r="Z66" s="525"/>
      <c r="AA66" s="525"/>
      <c r="AB66" s="525"/>
      <c r="AC66" s="525"/>
      <c r="AD66" s="525"/>
      <c r="AE66" s="525"/>
      <c r="AF66" s="525"/>
      <c r="AG66" s="525"/>
      <c r="AH66" s="525"/>
      <c r="AI66" s="525"/>
      <c r="AJ66" s="525"/>
      <c r="AK66" s="525"/>
      <c r="AL66" s="525"/>
    </row>
    <row r="67" spans="2:38" ht="15.75" hidden="1" customHeight="1" x14ac:dyDescent="0.25">
      <c r="B67" s="593" t="s">
        <v>83</v>
      </c>
      <c r="C67" s="523" t="s">
        <v>19</v>
      </c>
      <c r="D67" s="594" t="s">
        <v>273</v>
      </c>
      <c r="E67" s="525"/>
      <c r="F67" s="525"/>
      <c r="G67" s="525"/>
      <c r="H67" s="525"/>
      <c r="I67" s="525"/>
      <c r="J67" s="525"/>
      <c r="K67" s="525"/>
      <c r="L67" s="525"/>
      <c r="M67" s="525"/>
      <c r="N67" s="525"/>
      <c r="O67" s="525"/>
      <c r="P67" s="525"/>
      <c r="Q67" s="525"/>
      <c r="R67" s="525"/>
      <c r="S67" s="525"/>
      <c r="T67" s="525"/>
      <c r="U67" s="525"/>
      <c r="V67" s="525"/>
      <c r="W67" s="525"/>
      <c r="X67" s="525"/>
      <c r="Y67" s="525"/>
      <c r="Z67" s="525"/>
      <c r="AA67" s="525"/>
      <c r="AB67" s="525"/>
      <c r="AC67" s="525"/>
      <c r="AD67" s="525"/>
      <c r="AE67" s="525"/>
      <c r="AF67" s="525"/>
      <c r="AG67" s="525"/>
      <c r="AH67" s="525"/>
      <c r="AI67" s="525"/>
      <c r="AJ67" s="525"/>
      <c r="AK67" s="525"/>
      <c r="AL67" s="525"/>
    </row>
    <row r="68" spans="2:38" ht="15.75" hidden="1" customHeight="1" x14ac:dyDescent="0.25">
      <c r="B68" s="591">
        <v>21</v>
      </c>
      <c r="C68" s="527" t="s">
        <v>84</v>
      </c>
      <c r="D68" s="592" t="s">
        <v>2</v>
      </c>
      <c r="E68" s="525"/>
      <c r="F68" s="525"/>
      <c r="G68" s="525"/>
      <c r="H68" s="525"/>
      <c r="I68" s="525"/>
      <c r="J68" s="525"/>
      <c r="K68" s="525"/>
      <c r="L68" s="525"/>
      <c r="M68" s="525"/>
      <c r="N68" s="525"/>
      <c r="O68" s="525"/>
      <c r="P68" s="525"/>
      <c r="Q68" s="525"/>
      <c r="R68" s="525"/>
      <c r="S68" s="525"/>
      <c r="T68" s="525"/>
      <c r="U68" s="525"/>
      <c r="V68" s="525"/>
      <c r="W68" s="525"/>
      <c r="X68" s="525"/>
      <c r="Y68" s="525"/>
      <c r="Z68" s="525"/>
      <c r="AA68" s="525"/>
      <c r="AB68" s="525"/>
      <c r="AC68" s="525"/>
      <c r="AD68" s="525"/>
      <c r="AE68" s="525"/>
      <c r="AF68" s="525"/>
      <c r="AG68" s="525"/>
      <c r="AH68" s="525"/>
      <c r="AI68" s="525"/>
      <c r="AJ68" s="525"/>
      <c r="AK68" s="525"/>
      <c r="AL68" s="525"/>
    </row>
    <row r="69" spans="2:38" ht="15.75" hidden="1" customHeight="1" x14ac:dyDescent="0.25">
      <c r="B69" s="593" t="s">
        <v>85</v>
      </c>
      <c r="C69" s="523" t="s">
        <v>17</v>
      </c>
      <c r="D69" s="594" t="s">
        <v>273</v>
      </c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  <c r="P69" s="525"/>
      <c r="Q69" s="525"/>
      <c r="R69" s="525"/>
      <c r="S69" s="525"/>
      <c r="T69" s="525"/>
      <c r="U69" s="525"/>
      <c r="V69" s="525"/>
      <c r="W69" s="525"/>
      <c r="X69" s="525"/>
      <c r="Y69" s="525"/>
      <c r="Z69" s="525"/>
      <c r="AA69" s="525"/>
      <c r="AB69" s="525"/>
      <c r="AC69" s="525"/>
      <c r="AD69" s="525"/>
      <c r="AE69" s="525"/>
      <c r="AF69" s="525"/>
      <c r="AG69" s="525"/>
      <c r="AH69" s="525"/>
      <c r="AI69" s="525"/>
      <c r="AJ69" s="525"/>
      <c r="AK69" s="525"/>
      <c r="AL69" s="525"/>
    </row>
    <row r="70" spans="2:38" ht="15.75" hidden="1" customHeight="1" x14ac:dyDescent="0.25">
      <c r="B70" s="593" t="s">
        <v>86</v>
      </c>
      <c r="C70" s="523" t="s">
        <v>19</v>
      </c>
      <c r="D70" s="594" t="s">
        <v>273</v>
      </c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  <c r="P70" s="525"/>
      <c r="Q70" s="525"/>
      <c r="R70" s="525"/>
      <c r="S70" s="525"/>
      <c r="T70" s="525"/>
      <c r="U70" s="525"/>
      <c r="V70" s="525"/>
      <c r="W70" s="525"/>
      <c r="X70" s="525"/>
      <c r="Y70" s="525"/>
      <c r="Z70" s="525"/>
      <c r="AA70" s="525"/>
      <c r="AB70" s="525"/>
      <c r="AC70" s="525"/>
      <c r="AD70" s="525"/>
      <c r="AE70" s="525"/>
      <c r="AF70" s="525"/>
      <c r="AG70" s="525"/>
      <c r="AH70" s="525"/>
      <c r="AI70" s="525"/>
      <c r="AJ70" s="525"/>
      <c r="AK70" s="525"/>
      <c r="AL70" s="525"/>
    </row>
    <row r="71" spans="2:38" ht="15.75" hidden="1" customHeight="1" x14ac:dyDescent="0.25">
      <c r="B71" s="595" t="s">
        <v>87</v>
      </c>
      <c r="C71" s="527" t="s">
        <v>88</v>
      </c>
      <c r="D71" s="592" t="s">
        <v>2</v>
      </c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  <c r="P71" s="525"/>
      <c r="Q71" s="525"/>
      <c r="R71" s="525"/>
      <c r="S71" s="525"/>
      <c r="T71" s="525"/>
      <c r="U71" s="525"/>
      <c r="V71" s="525"/>
      <c r="W71" s="525"/>
      <c r="X71" s="525"/>
      <c r="Y71" s="525"/>
      <c r="Z71" s="525"/>
      <c r="AA71" s="525"/>
      <c r="AB71" s="525"/>
      <c r="AC71" s="525"/>
      <c r="AD71" s="525"/>
      <c r="AE71" s="525"/>
      <c r="AF71" s="525"/>
      <c r="AG71" s="525"/>
      <c r="AH71" s="525"/>
      <c r="AI71" s="525"/>
      <c r="AJ71" s="525"/>
      <c r="AK71" s="525"/>
      <c r="AL71" s="525"/>
    </row>
    <row r="72" spans="2:38" ht="15.75" hidden="1" customHeight="1" x14ac:dyDescent="0.25">
      <c r="B72" s="593" t="s">
        <v>89</v>
      </c>
      <c r="C72" s="523" t="s">
        <v>17</v>
      </c>
      <c r="D72" s="594" t="s">
        <v>273</v>
      </c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  <c r="P72" s="525"/>
      <c r="Q72" s="525"/>
      <c r="R72" s="525"/>
      <c r="S72" s="525"/>
      <c r="T72" s="525"/>
      <c r="U72" s="525"/>
      <c r="V72" s="525"/>
      <c r="W72" s="525"/>
      <c r="X72" s="525"/>
      <c r="Y72" s="525"/>
      <c r="Z72" s="525"/>
      <c r="AA72" s="525"/>
      <c r="AB72" s="525"/>
      <c r="AC72" s="525"/>
      <c r="AD72" s="525"/>
      <c r="AE72" s="525"/>
      <c r="AF72" s="525"/>
      <c r="AG72" s="525"/>
      <c r="AH72" s="525"/>
      <c r="AI72" s="525"/>
      <c r="AJ72" s="525"/>
      <c r="AK72" s="525"/>
      <c r="AL72" s="525"/>
    </row>
    <row r="73" spans="2:38" ht="15.75" hidden="1" customHeight="1" x14ac:dyDescent="0.25">
      <c r="B73" s="593" t="s">
        <v>90</v>
      </c>
      <c r="C73" s="523" t="s">
        <v>19</v>
      </c>
      <c r="D73" s="594" t="s">
        <v>273</v>
      </c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  <c r="P73" s="525"/>
      <c r="Q73" s="525"/>
      <c r="R73" s="525"/>
      <c r="S73" s="525"/>
      <c r="T73" s="525"/>
      <c r="U73" s="525"/>
      <c r="V73" s="525"/>
      <c r="W73" s="525"/>
      <c r="X73" s="525"/>
      <c r="Y73" s="525"/>
      <c r="Z73" s="525"/>
      <c r="AA73" s="525"/>
      <c r="AB73" s="525"/>
      <c r="AC73" s="525"/>
      <c r="AD73" s="525"/>
      <c r="AE73" s="525"/>
      <c r="AF73" s="525"/>
      <c r="AG73" s="525"/>
      <c r="AH73" s="525"/>
      <c r="AI73" s="525"/>
      <c r="AJ73" s="525"/>
      <c r="AK73" s="525"/>
      <c r="AL73" s="525"/>
    </row>
    <row r="74" spans="2:38" ht="15.75" hidden="1" customHeight="1" x14ac:dyDescent="0.25">
      <c r="B74" s="591">
        <v>23</v>
      </c>
      <c r="C74" s="527" t="s">
        <v>91</v>
      </c>
      <c r="D74" s="592" t="s">
        <v>2</v>
      </c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  <c r="P74" s="525"/>
      <c r="Q74" s="525"/>
      <c r="R74" s="525"/>
      <c r="S74" s="525"/>
      <c r="T74" s="525"/>
      <c r="U74" s="525"/>
      <c r="V74" s="525"/>
      <c r="W74" s="525"/>
      <c r="X74" s="525"/>
      <c r="Y74" s="525"/>
      <c r="Z74" s="525"/>
      <c r="AA74" s="525"/>
      <c r="AB74" s="525"/>
      <c r="AC74" s="525"/>
      <c r="AD74" s="525"/>
      <c r="AE74" s="525"/>
      <c r="AF74" s="525"/>
      <c r="AG74" s="525"/>
      <c r="AH74" s="525"/>
      <c r="AI74" s="525"/>
      <c r="AJ74" s="525"/>
      <c r="AK74" s="525"/>
      <c r="AL74" s="525"/>
    </row>
    <row r="75" spans="2:38" ht="15.75" hidden="1" customHeight="1" x14ac:dyDescent="0.25">
      <c r="B75" s="593" t="s">
        <v>92</v>
      </c>
      <c r="C75" s="523" t="s">
        <v>17</v>
      </c>
      <c r="D75" s="594" t="s">
        <v>273</v>
      </c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  <c r="P75" s="525"/>
      <c r="Q75" s="525"/>
      <c r="R75" s="525"/>
      <c r="S75" s="525"/>
      <c r="T75" s="525"/>
      <c r="U75" s="525"/>
      <c r="V75" s="525"/>
      <c r="W75" s="525"/>
      <c r="X75" s="525"/>
      <c r="Y75" s="525"/>
      <c r="Z75" s="525"/>
      <c r="AA75" s="525"/>
      <c r="AB75" s="525"/>
      <c r="AC75" s="525"/>
      <c r="AD75" s="525"/>
      <c r="AE75" s="525"/>
      <c r="AF75" s="525"/>
      <c r="AG75" s="525"/>
      <c r="AH75" s="525"/>
      <c r="AI75" s="525"/>
      <c r="AJ75" s="525"/>
      <c r="AK75" s="525"/>
      <c r="AL75" s="525"/>
    </row>
    <row r="76" spans="2:38" ht="15.75" hidden="1" customHeight="1" x14ac:dyDescent="0.25">
      <c r="B76" s="593" t="s">
        <v>93</v>
      </c>
      <c r="C76" s="523" t="s">
        <v>19</v>
      </c>
      <c r="D76" s="594" t="s">
        <v>273</v>
      </c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  <c r="P76" s="525"/>
      <c r="Q76" s="525"/>
      <c r="R76" s="525"/>
      <c r="S76" s="525"/>
      <c r="T76" s="525"/>
      <c r="U76" s="525"/>
      <c r="V76" s="525"/>
      <c r="W76" s="525"/>
      <c r="X76" s="525"/>
      <c r="Y76" s="525"/>
      <c r="Z76" s="525"/>
      <c r="AA76" s="525"/>
      <c r="AB76" s="525"/>
      <c r="AC76" s="525"/>
      <c r="AD76" s="525"/>
      <c r="AE76" s="525"/>
      <c r="AF76" s="525"/>
      <c r="AG76" s="525"/>
      <c r="AH76" s="525"/>
      <c r="AI76" s="525"/>
      <c r="AJ76" s="525"/>
      <c r="AK76" s="525"/>
      <c r="AL76" s="525"/>
    </row>
    <row r="77" spans="2:38" ht="15.75" hidden="1" customHeight="1" x14ac:dyDescent="0.25">
      <c r="B77" s="591">
        <v>24</v>
      </c>
      <c r="C77" s="527" t="s">
        <v>94</v>
      </c>
      <c r="D77" s="592" t="s">
        <v>2</v>
      </c>
      <c r="E77" s="525"/>
      <c r="F77" s="525"/>
      <c r="G77" s="525"/>
      <c r="H77" s="525"/>
      <c r="I77" s="525"/>
      <c r="J77" s="525"/>
      <c r="K77" s="525"/>
      <c r="L77" s="525"/>
      <c r="M77" s="525"/>
      <c r="N77" s="525"/>
      <c r="O77" s="525"/>
      <c r="P77" s="525"/>
      <c r="Q77" s="525"/>
      <c r="R77" s="525"/>
      <c r="S77" s="525"/>
      <c r="T77" s="525"/>
      <c r="U77" s="525"/>
      <c r="V77" s="525"/>
      <c r="W77" s="525"/>
      <c r="X77" s="525"/>
      <c r="Y77" s="525"/>
      <c r="Z77" s="525"/>
      <c r="AA77" s="525"/>
      <c r="AB77" s="525"/>
      <c r="AC77" s="525"/>
      <c r="AD77" s="525"/>
      <c r="AE77" s="525"/>
      <c r="AF77" s="525"/>
      <c r="AG77" s="525"/>
      <c r="AH77" s="525"/>
      <c r="AI77" s="525"/>
      <c r="AJ77" s="525"/>
      <c r="AK77" s="525"/>
      <c r="AL77" s="525"/>
    </row>
    <row r="78" spans="2:38" ht="15.75" hidden="1" customHeight="1" x14ac:dyDescent="0.25">
      <c r="B78" s="593" t="s">
        <v>95</v>
      </c>
      <c r="C78" s="523" t="s">
        <v>17</v>
      </c>
      <c r="D78" s="594" t="s">
        <v>273</v>
      </c>
      <c r="E78" s="525"/>
      <c r="F78" s="525"/>
      <c r="G78" s="525"/>
      <c r="H78" s="525"/>
      <c r="I78" s="525"/>
      <c r="J78" s="525"/>
      <c r="K78" s="525"/>
      <c r="L78" s="525"/>
      <c r="M78" s="525"/>
      <c r="N78" s="525"/>
      <c r="O78" s="525"/>
      <c r="P78" s="525"/>
      <c r="Q78" s="525"/>
      <c r="R78" s="525"/>
      <c r="S78" s="525"/>
      <c r="T78" s="525"/>
      <c r="U78" s="525"/>
      <c r="V78" s="525"/>
      <c r="W78" s="525"/>
      <c r="X78" s="525"/>
      <c r="Y78" s="525"/>
      <c r="Z78" s="525"/>
      <c r="AA78" s="525"/>
      <c r="AB78" s="525"/>
      <c r="AC78" s="525"/>
      <c r="AD78" s="525"/>
      <c r="AE78" s="525"/>
      <c r="AF78" s="525"/>
      <c r="AG78" s="525"/>
      <c r="AH78" s="525"/>
      <c r="AI78" s="525"/>
      <c r="AJ78" s="525"/>
      <c r="AK78" s="525"/>
      <c r="AL78" s="525"/>
    </row>
    <row r="79" spans="2:38" ht="15.75" hidden="1" customHeight="1" x14ac:dyDescent="0.25">
      <c r="B79" s="593" t="s">
        <v>96</v>
      </c>
      <c r="C79" s="523" t="s">
        <v>19</v>
      </c>
      <c r="D79" s="594" t="s">
        <v>273</v>
      </c>
      <c r="E79" s="525"/>
      <c r="F79" s="525"/>
      <c r="G79" s="525"/>
      <c r="H79" s="525"/>
      <c r="I79" s="525"/>
      <c r="J79" s="525"/>
      <c r="K79" s="525"/>
      <c r="L79" s="525"/>
      <c r="M79" s="525"/>
      <c r="N79" s="525"/>
      <c r="O79" s="525"/>
      <c r="P79" s="525"/>
      <c r="Q79" s="525"/>
      <c r="R79" s="525"/>
      <c r="S79" s="525"/>
      <c r="T79" s="525"/>
      <c r="U79" s="525"/>
      <c r="V79" s="525"/>
      <c r="W79" s="525"/>
      <c r="X79" s="525"/>
      <c r="Y79" s="525"/>
      <c r="Z79" s="525"/>
      <c r="AA79" s="525"/>
      <c r="AB79" s="525"/>
      <c r="AC79" s="525"/>
      <c r="AD79" s="525"/>
      <c r="AE79" s="525"/>
      <c r="AF79" s="525"/>
      <c r="AG79" s="525"/>
      <c r="AH79" s="525"/>
      <c r="AI79" s="525"/>
      <c r="AJ79" s="525"/>
      <c r="AK79" s="525"/>
      <c r="AL79" s="525"/>
    </row>
    <row r="80" spans="2:38" ht="15.75" hidden="1" customHeight="1" x14ac:dyDescent="0.25">
      <c r="B80" s="591">
        <v>25</v>
      </c>
      <c r="C80" s="527" t="s">
        <v>97</v>
      </c>
      <c r="D80" s="592" t="s">
        <v>2</v>
      </c>
      <c r="E80" s="525"/>
      <c r="F80" s="525"/>
      <c r="G80" s="525"/>
      <c r="H80" s="525"/>
      <c r="I80" s="525"/>
      <c r="J80" s="525"/>
      <c r="K80" s="525"/>
      <c r="L80" s="525"/>
      <c r="M80" s="525"/>
      <c r="N80" s="525"/>
      <c r="O80" s="525"/>
      <c r="P80" s="525"/>
      <c r="Q80" s="525"/>
      <c r="R80" s="525"/>
      <c r="S80" s="525"/>
      <c r="T80" s="525"/>
      <c r="U80" s="525"/>
      <c r="V80" s="525"/>
      <c r="W80" s="525"/>
      <c r="X80" s="525"/>
      <c r="Y80" s="525"/>
      <c r="Z80" s="525"/>
      <c r="AA80" s="525"/>
      <c r="AB80" s="525"/>
      <c r="AC80" s="525"/>
      <c r="AD80" s="525"/>
      <c r="AE80" s="525"/>
      <c r="AF80" s="525"/>
      <c r="AG80" s="525"/>
      <c r="AH80" s="525"/>
      <c r="AI80" s="525"/>
      <c r="AJ80" s="525"/>
      <c r="AK80" s="525"/>
      <c r="AL80" s="525"/>
    </row>
    <row r="81" spans="2:38" ht="15.75" hidden="1" customHeight="1" x14ac:dyDescent="0.25">
      <c r="B81" s="593" t="s">
        <v>98</v>
      </c>
      <c r="C81" s="523" t="s">
        <v>17</v>
      </c>
      <c r="D81" s="594" t="s">
        <v>273</v>
      </c>
      <c r="E81" s="525"/>
      <c r="F81" s="525"/>
      <c r="G81" s="525"/>
      <c r="H81" s="525"/>
      <c r="I81" s="525"/>
      <c r="J81" s="525"/>
      <c r="K81" s="525"/>
      <c r="L81" s="525"/>
      <c r="M81" s="525"/>
      <c r="N81" s="525"/>
      <c r="O81" s="525"/>
      <c r="P81" s="525"/>
      <c r="Q81" s="525"/>
      <c r="R81" s="525"/>
      <c r="S81" s="525"/>
      <c r="T81" s="525"/>
      <c r="U81" s="525"/>
      <c r="V81" s="525"/>
      <c r="W81" s="525"/>
      <c r="X81" s="525"/>
      <c r="Y81" s="525"/>
      <c r="Z81" s="525"/>
      <c r="AA81" s="525"/>
      <c r="AB81" s="525"/>
      <c r="AC81" s="525"/>
      <c r="AD81" s="525"/>
      <c r="AE81" s="525"/>
      <c r="AF81" s="525"/>
      <c r="AG81" s="525"/>
      <c r="AH81" s="525"/>
      <c r="AI81" s="525"/>
      <c r="AJ81" s="525"/>
      <c r="AK81" s="525"/>
      <c r="AL81" s="525"/>
    </row>
    <row r="82" spans="2:38" ht="15.75" hidden="1" customHeight="1" x14ac:dyDescent="0.25">
      <c r="B82" s="593" t="s">
        <v>99</v>
      </c>
      <c r="C82" s="523" t="s">
        <v>19</v>
      </c>
      <c r="D82" s="594" t="s">
        <v>273</v>
      </c>
      <c r="E82" s="525"/>
      <c r="F82" s="525"/>
      <c r="G82" s="525"/>
      <c r="H82" s="525"/>
      <c r="I82" s="525"/>
      <c r="J82" s="525"/>
      <c r="K82" s="525"/>
      <c r="L82" s="525"/>
      <c r="M82" s="525"/>
      <c r="N82" s="525"/>
      <c r="O82" s="525"/>
      <c r="P82" s="525"/>
      <c r="Q82" s="525"/>
      <c r="R82" s="525"/>
      <c r="S82" s="525"/>
      <c r="T82" s="525"/>
      <c r="U82" s="525"/>
      <c r="V82" s="525"/>
      <c r="W82" s="525"/>
      <c r="X82" s="525"/>
      <c r="Y82" s="525"/>
      <c r="Z82" s="525"/>
      <c r="AA82" s="525"/>
      <c r="AB82" s="525"/>
      <c r="AC82" s="525"/>
      <c r="AD82" s="525"/>
      <c r="AE82" s="525"/>
      <c r="AF82" s="525"/>
      <c r="AG82" s="525"/>
      <c r="AH82" s="525"/>
      <c r="AI82" s="525"/>
      <c r="AJ82" s="525"/>
      <c r="AK82" s="525"/>
      <c r="AL82" s="525"/>
    </row>
    <row r="83" spans="2:38" ht="15.75" hidden="1" customHeight="1" x14ac:dyDescent="0.25">
      <c r="B83" s="591">
        <v>26</v>
      </c>
      <c r="C83" s="527" t="s">
        <v>100</v>
      </c>
      <c r="D83" s="592" t="s">
        <v>2</v>
      </c>
      <c r="E83" s="525"/>
      <c r="F83" s="525"/>
      <c r="G83" s="525"/>
      <c r="H83" s="525"/>
      <c r="I83" s="525"/>
      <c r="J83" s="525"/>
      <c r="K83" s="525"/>
      <c r="L83" s="525"/>
      <c r="M83" s="525"/>
      <c r="N83" s="525"/>
      <c r="O83" s="525"/>
      <c r="P83" s="525"/>
      <c r="Q83" s="525"/>
      <c r="R83" s="525"/>
      <c r="S83" s="525"/>
      <c r="T83" s="525"/>
      <c r="U83" s="525"/>
      <c r="V83" s="525"/>
      <c r="W83" s="525"/>
      <c r="X83" s="525"/>
      <c r="Y83" s="525"/>
      <c r="Z83" s="525"/>
      <c r="AA83" s="525"/>
      <c r="AB83" s="525"/>
      <c r="AC83" s="525"/>
      <c r="AD83" s="525"/>
      <c r="AE83" s="525"/>
      <c r="AF83" s="525"/>
      <c r="AG83" s="525"/>
      <c r="AH83" s="525"/>
      <c r="AI83" s="525"/>
      <c r="AJ83" s="525"/>
      <c r="AK83" s="525"/>
      <c r="AL83" s="525"/>
    </row>
    <row r="84" spans="2:38" ht="15.75" hidden="1" customHeight="1" x14ac:dyDescent="0.25">
      <c r="B84" s="593" t="s">
        <v>101</v>
      </c>
      <c r="C84" s="523" t="s">
        <v>17</v>
      </c>
      <c r="D84" s="594" t="s">
        <v>273</v>
      </c>
      <c r="E84" s="525"/>
      <c r="F84" s="525"/>
      <c r="G84" s="525"/>
      <c r="H84" s="525"/>
      <c r="I84" s="525"/>
      <c r="J84" s="525"/>
      <c r="K84" s="525"/>
      <c r="L84" s="525"/>
      <c r="M84" s="525"/>
      <c r="N84" s="525"/>
      <c r="O84" s="525"/>
      <c r="P84" s="525"/>
      <c r="Q84" s="525"/>
      <c r="R84" s="525"/>
      <c r="S84" s="525"/>
      <c r="T84" s="525"/>
      <c r="U84" s="525"/>
      <c r="V84" s="525"/>
      <c r="W84" s="525"/>
      <c r="X84" s="525"/>
      <c r="Y84" s="525"/>
      <c r="Z84" s="525"/>
      <c r="AA84" s="525"/>
      <c r="AB84" s="525"/>
      <c r="AC84" s="525"/>
      <c r="AD84" s="525"/>
      <c r="AE84" s="525"/>
      <c r="AF84" s="525"/>
      <c r="AG84" s="525"/>
      <c r="AH84" s="525"/>
      <c r="AI84" s="525"/>
      <c r="AJ84" s="525"/>
      <c r="AK84" s="525"/>
      <c r="AL84" s="525"/>
    </row>
    <row r="85" spans="2:38" ht="15.75" hidden="1" customHeight="1" x14ac:dyDescent="0.25">
      <c r="B85" s="593" t="s">
        <v>102</v>
      </c>
      <c r="C85" s="523" t="s">
        <v>19</v>
      </c>
      <c r="D85" s="594" t="s">
        <v>273</v>
      </c>
      <c r="E85" s="525"/>
      <c r="F85" s="525"/>
      <c r="G85" s="525"/>
      <c r="H85" s="525"/>
      <c r="I85" s="525"/>
      <c r="J85" s="525"/>
      <c r="K85" s="525"/>
      <c r="L85" s="525"/>
      <c r="M85" s="525"/>
      <c r="N85" s="525"/>
      <c r="O85" s="525"/>
      <c r="P85" s="525"/>
      <c r="Q85" s="525"/>
      <c r="R85" s="525"/>
      <c r="S85" s="525"/>
      <c r="T85" s="525"/>
      <c r="U85" s="525"/>
      <c r="V85" s="525"/>
      <c r="W85" s="525"/>
      <c r="X85" s="525"/>
      <c r="Y85" s="525"/>
      <c r="Z85" s="525"/>
      <c r="AA85" s="525"/>
      <c r="AB85" s="525"/>
      <c r="AC85" s="525"/>
      <c r="AD85" s="525"/>
      <c r="AE85" s="525"/>
      <c r="AF85" s="525"/>
      <c r="AG85" s="525"/>
      <c r="AH85" s="525"/>
      <c r="AI85" s="525"/>
      <c r="AJ85" s="525"/>
      <c r="AK85" s="525"/>
      <c r="AL85" s="525"/>
    </row>
    <row r="86" spans="2:38" ht="15.75" hidden="1" customHeight="1" x14ac:dyDescent="0.25">
      <c r="B86" s="591">
        <v>27</v>
      </c>
      <c r="C86" s="527" t="s">
        <v>103</v>
      </c>
      <c r="D86" s="592" t="s">
        <v>2</v>
      </c>
      <c r="E86" s="525"/>
      <c r="F86" s="525"/>
      <c r="G86" s="525"/>
      <c r="H86" s="525"/>
      <c r="I86" s="525"/>
      <c r="J86" s="525"/>
      <c r="K86" s="525"/>
      <c r="L86" s="525"/>
      <c r="M86" s="525"/>
      <c r="N86" s="525"/>
      <c r="O86" s="525"/>
      <c r="P86" s="525"/>
      <c r="Q86" s="525"/>
      <c r="R86" s="525"/>
      <c r="S86" s="525"/>
      <c r="T86" s="525"/>
      <c r="U86" s="525"/>
      <c r="V86" s="525"/>
      <c r="W86" s="525"/>
      <c r="X86" s="525"/>
      <c r="Y86" s="525"/>
      <c r="Z86" s="525"/>
      <c r="AA86" s="525"/>
      <c r="AB86" s="525"/>
      <c r="AC86" s="525"/>
      <c r="AD86" s="525"/>
      <c r="AE86" s="525"/>
      <c r="AF86" s="525"/>
      <c r="AG86" s="525"/>
      <c r="AH86" s="525"/>
      <c r="AI86" s="525"/>
      <c r="AJ86" s="525"/>
      <c r="AK86" s="525"/>
      <c r="AL86" s="525"/>
    </row>
    <row r="87" spans="2:38" ht="15.75" hidden="1" customHeight="1" x14ac:dyDescent="0.25">
      <c r="B87" s="593" t="s">
        <v>104</v>
      </c>
      <c r="C87" s="523" t="s">
        <v>17</v>
      </c>
      <c r="D87" s="594" t="s">
        <v>273</v>
      </c>
      <c r="E87" s="525"/>
      <c r="F87" s="525"/>
      <c r="G87" s="525"/>
      <c r="H87" s="525"/>
      <c r="I87" s="525"/>
      <c r="J87" s="525"/>
      <c r="K87" s="525"/>
      <c r="L87" s="525"/>
      <c r="M87" s="525"/>
      <c r="N87" s="525"/>
      <c r="O87" s="525"/>
      <c r="P87" s="525"/>
      <c r="Q87" s="525"/>
      <c r="R87" s="525"/>
      <c r="S87" s="525"/>
      <c r="T87" s="525"/>
      <c r="U87" s="525"/>
      <c r="V87" s="525"/>
      <c r="W87" s="525"/>
      <c r="X87" s="525"/>
      <c r="Y87" s="525"/>
      <c r="Z87" s="525"/>
      <c r="AA87" s="525"/>
      <c r="AB87" s="525"/>
      <c r="AC87" s="525"/>
      <c r="AD87" s="525"/>
      <c r="AE87" s="525"/>
      <c r="AF87" s="525"/>
      <c r="AG87" s="525"/>
      <c r="AH87" s="525"/>
      <c r="AI87" s="525"/>
      <c r="AJ87" s="525"/>
      <c r="AK87" s="525"/>
      <c r="AL87" s="525"/>
    </row>
    <row r="88" spans="2:38" ht="15.75" hidden="1" customHeight="1" x14ac:dyDescent="0.25">
      <c r="B88" s="593" t="s">
        <v>105</v>
      </c>
      <c r="C88" s="523" t="s">
        <v>19</v>
      </c>
      <c r="D88" s="594" t="s">
        <v>273</v>
      </c>
      <c r="E88" s="525"/>
      <c r="F88" s="525"/>
      <c r="G88" s="525"/>
      <c r="H88" s="525"/>
      <c r="I88" s="525"/>
      <c r="J88" s="525"/>
      <c r="K88" s="525"/>
      <c r="L88" s="525"/>
      <c r="M88" s="525"/>
      <c r="N88" s="525"/>
      <c r="O88" s="525"/>
      <c r="P88" s="525"/>
      <c r="Q88" s="525"/>
      <c r="R88" s="525"/>
      <c r="S88" s="525"/>
      <c r="T88" s="525"/>
      <c r="U88" s="525"/>
      <c r="V88" s="525"/>
      <c r="W88" s="525"/>
      <c r="X88" s="525"/>
      <c r="Y88" s="525"/>
      <c r="Z88" s="525"/>
      <c r="AA88" s="525"/>
      <c r="AB88" s="525"/>
      <c r="AC88" s="525"/>
      <c r="AD88" s="525"/>
      <c r="AE88" s="525"/>
      <c r="AF88" s="525"/>
      <c r="AG88" s="525"/>
      <c r="AH88" s="525"/>
      <c r="AI88" s="525"/>
      <c r="AJ88" s="525"/>
      <c r="AK88" s="525"/>
      <c r="AL88" s="525"/>
    </row>
    <row r="89" spans="2:38" ht="15.75" hidden="1" customHeight="1" x14ac:dyDescent="0.25">
      <c r="B89" s="591">
        <v>28</v>
      </c>
      <c r="C89" s="527" t="s">
        <v>106</v>
      </c>
      <c r="D89" s="592" t="s">
        <v>2</v>
      </c>
      <c r="E89" s="525"/>
      <c r="F89" s="525"/>
      <c r="G89" s="525"/>
      <c r="H89" s="525"/>
      <c r="I89" s="525"/>
      <c r="J89" s="525"/>
      <c r="K89" s="525"/>
      <c r="L89" s="525"/>
      <c r="M89" s="525"/>
      <c r="N89" s="525"/>
      <c r="O89" s="525"/>
      <c r="P89" s="525"/>
      <c r="Q89" s="525"/>
      <c r="R89" s="525"/>
      <c r="S89" s="525"/>
      <c r="T89" s="525"/>
      <c r="U89" s="525"/>
      <c r="V89" s="525"/>
      <c r="W89" s="525"/>
      <c r="X89" s="525"/>
      <c r="Y89" s="525"/>
      <c r="Z89" s="525"/>
      <c r="AA89" s="525"/>
      <c r="AB89" s="525"/>
      <c r="AC89" s="525"/>
      <c r="AD89" s="525"/>
      <c r="AE89" s="525"/>
      <c r="AF89" s="525"/>
      <c r="AG89" s="525"/>
      <c r="AH89" s="525"/>
      <c r="AI89" s="525"/>
      <c r="AJ89" s="525"/>
      <c r="AK89" s="525"/>
      <c r="AL89" s="525"/>
    </row>
    <row r="90" spans="2:38" ht="15.75" hidden="1" customHeight="1" x14ac:dyDescent="0.25">
      <c r="B90" s="593" t="s">
        <v>107</v>
      </c>
      <c r="C90" s="523" t="s">
        <v>17</v>
      </c>
      <c r="D90" s="594" t="s">
        <v>273</v>
      </c>
      <c r="E90" s="525"/>
      <c r="F90" s="525"/>
      <c r="G90" s="525"/>
      <c r="H90" s="525"/>
      <c r="I90" s="525"/>
      <c r="J90" s="525"/>
      <c r="K90" s="525"/>
      <c r="L90" s="525"/>
      <c r="M90" s="525"/>
      <c r="N90" s="525"/>
      <c r="O90" s="525"/>
      <c r="P90" s="525"/>
      <c r="Q90" s="525"/>
      <c r="R90" s="525"/>
      <c r="S90" s="525"/>
      <c r="T90" s="525"/>
      <c r="U90" s="525"/>
      <c r="V90" s="525"/>
      <c r="W90" s="525"/>
      <c r="X90" s="525"/>
      <c r="Y90" s="525"/>
      <c r="Z90" s="525"/>
      <c r="AA90" s="525"/>
      <c r="AB90" s="525"/>
      <c r="AC90" s="525"/>
      <c r="AD90" s="525"/>
      <c r="AE90" s="525"/>
      <c r="AF90" s="525"/>
      <c r="AG90" s="525"/>
      <c r="AH90" s="525"/>
      <c r="AI90" s="525"/>
      <c r="AJ90" s="525"/>
      <c r="AK90" s="525"/>
      <c r="AL90" s="525"/>
    </row>
    <row r="91" spans="2:38" ht="15.75" hidden="1" customHeight="1" x14ac:dyDescent="0.25">
      <c r="B91" s="593" t="s">
        <v>108</v>
      </c>
      <c r="C91" s="523" t="s">
        <v>19</v>
      </c>
      <c r="D91" s="594" t="s">
        <v>273</v>
      </c>
      <c r="E91" s="525"/>
      <c r="F91" s="525"/>
      <c r="G91" s="525"/>
      <c r="H91" s="525"/>
      <c r="I91" s="525"/>
      <c r="J91" s="525"/>
      <c r="K91" s="525"/>
      <c r="L91" s="525"/>
      <c r="M91" s="525"/>
      <c r="N91" s="525"/>
      <c r="O91" s="525"/>
      <c r="P91" s="525"/>
      <c r="Q91" s="525"/>
      <c r="R91" s="525"/>
      <c r="S91" s="525"/>
      <c r="T91" s="525"/>
      <c r="U91" s="525"/>
      <c r="V91" s="525"/>
      <c r="W91" s="525"/>
      <c r="X91" s="525"/>
      <c r="Y91" s="525"/>
      <c r="Z91" s="525"/>
      <c r="AA91" s="525"/>
      <c r="AB91" s="525"/>
      <c r="AC91" s="525"/>
      <c r="AD91" s="525"/>
      <c r="AE91" s="525"/>
      <c r="AF91" s="525"/>
      <c r="AG91" s="525"/>
      <c r="AH91" s="525"/>
      <c r="AI91" s="525"/>
      <c r="AJ91" s="525"/>
      <c r="AK91" s="525"/>
      <c r="AL91" s="525"/>
    </row>
    <row r="92" spans="2:38" ht="15.75" hidden="1" customHeight="1" x14ac:dyDescent="0.25">
      <c r="B92" s="591">
        <v>29</v>
      </c>
      <c r="C92" s="527" t="s">
        <v>109</v>
      </c>
      <c r="D92" s="592" t="s">
        <v>2</v>
      </c>
      <c r="E92" s="525"/>
      <c r="F92" s="525"/>
      <c r="G92" s="525"/>
      <c r="H92" s="525"/>
      <c r="I92" s="525"/>
      <c r="J92" s="525"/>
      <c r="K92" s="525"/>
      <c r="L92" s="525"/>
      <c r="M92" s="525"/>
      <c r="N92" s="525"/>
      <c r="O92" s="525"/>
      <c r="P92" s="525"/>
      <c r="Q92" s="525"/>
      <c r="R92" s="525"/>
      <c r="S92" s="525"/>
      <c r="T92" s="525"/>
      <c r="U92" s="525"/>
      <c r="V92" s="525"/>
      <c r="W92" s="525"/>
      <c r="X92" s="525"/>
      <c r="Y92" s="525"/>
      <c r="Z92" s="525"/>
      <c r="AA92" s="525"/>
      <c r="AB92" s="525"/>
      <c r="AC92" s="525"/>
      <c r="AD92" s="525"/>
      <c r="AE92" s="525"/>
      <c r="AF92" s="525"/>
      <c r="AG92" s="525"/>
      <c r="AH92" s="525"/>
      <c r="AI92" s="525"/>
      <c r="AJ92" s="525"/>
      <c r="AK92" s="525"/>
      <c r="AL92" s="525"/>
    </row>
    <row r="93" spans="2:38" ht="15.75" hidden="1" customHeight="1" x14ac:dyDescent="0.25">
      <c r="B93" s="593" t="s">
        <v>110</v>
      </c>
      <c r="C93" s="523" t="s">
        <v>17</v>
      </c>
      <c r="D93" s="594" t="s">
        <v>273</v>
      </c>
      <c r="E93" s="525"/>
      <c r="F93" s="525"/>
      <c r="G93" s="525"/>
      <c r="H93" s="525"/>
      <c r="I93" s="525"/>
      <c r="J93" s="525"/>
      <c r="K93" s="525"/>
      <c r="L93" s="525"/>
      <c r="M93" s="525"/>
      <c r="N93" s="525"/>
      <c r="O93" s="525"/>
      <c r="P93" s="525"/>
      <c r="Q93" s="525"/>
      <c r="R93" s="525"/>
      <c r="S93" s="525"/>
      <c r="T93" s="525"/>
      <c r="U93" s="525"/>
      <c r="V93" s="525"/>
      <c r="W93" s="525"/>
      <c r="X93" s="525"/>
      <c r="Y93" s="525"/>
      <c r="Z93" s="525"/>
      <c r="AA93" s="525"/>
      <c r="AB93" s="525"/>
      <c r="AC93" s="525"/>
      <c r="AD93" s="525"/>
      <c r="AE93" s="525"/>
      <c r="AF93" s="525"/>
      <c r="AG93" s="525"/>
      <c r="AH93" s="525"/>
      <c r="AI93" s="525"/>
      <c r="AJ93" s="525"/>
      <c r="AK93" s="525"/>
      <c r="AL93" s="525"/>
    </row>
    <row r="94" spans="2:38" ht="15.75" hidden="1" customHeight="1" x14ac:dyDescent="0.25">
      <c r="B94" s="593" t="s">
        <v>111</v>
      </c>
      <c r="C94" s="523" t="s">
        <v>19</v>
      </c>
      <c r="D94" s="594" t="s">
        <v>273</v>
      </c>
      <c r="E94" s="525"/>
      <c r="F94" s="525"/>
      <c r="G94" s="525"/>
      <c r="H94" s="525"/>
      <c r="I94" s="525"/>
      <c r="J94" s="525"/>
      <c r="K94" s="525"/>
      <c r="L94" s="525"/>
      <c r="M94" s="525"/>
      <c r="N94" s="525"/>
      <c r="O94" s="525"/>
      <c r="P94" s="525"/>
      <c r="Q94" s="525"/>
      <c r="R94" s="525"/>
      <c r="S94" s="525"/>
      <c r="T94" s="525"/>
      <c r="U94" s="525"/>
      <c r="V94" s="525"/>
      <c r="W94" s="525"/>
      <c r="X94" s="525"/>
      <c r="Y94" s="525"/>
      <c r="Z94" s="525"/>
      <c r="AA94" s="525"/>
      <c r="AB94" s="525"/>
      <c r="AC94" s="525"/>
      <c r="AD94" s="525"/>
      <c r="AE94" s="525"/>
      <c r="AF94" s="525"/>
      <c r="AG94" s="525"/>
      <c r="AH94" s="525"/>
      <c r="AI94" s="525"/>
      <c r="AJ94" s="525"/>
      <c r="AK94" s="525"/>
      <c r="AL94" s="525"/>
    </row>
    <row r="95" spans="2:38" ht="15.75" hidden="1" customHeight="1" x14ac:dyDescent="0.25">
      <c r="B95" s="591">
        <v>30</v>
      </c>
      <c r="C95" s="527" t="s">
        <v>112</v>
      </c>
      <c r="D95" s="592" t="s">
        <v>2</v>
      </c>
      <c r="E95" s="525"/>
      <c r="F95" s="525"/>
      <c r="G95" s="525"/>
      <c r="H95" s="525"/>
      <c r="I95" s="525"/>
      <c r="J95" s="525"/>
      <c r="K95" s="525"/>
      <c r="L95" s="525"/>
      <c r="M95" s="525"/>
      <c r="N95" s="525"/>
      <c r="O95" s="525"/>
      <c r="P95" s="525"/>
      <c r="Q95" s="525"/>
      <c r="R95" s="525"/>
      <c r="S95" s="525"/>
      <c r="T95" s="525"/>
      <c r="U95" s="525"/>
      <c r="V95" s="525"/>
      <c r="W95" s="525"/>
      <c r="X95" s="525"/>
      <c r="Y95" s="525"/>
      <c r="Z95" s="525"/>
      <c r="AA95" s="525"/>
      <c r="AB95" s="525"/>
      <c r="AC95" s="525"/>
      <c r="AD95" s="525"/>
      <c r="AE95" s="525"/>
      <c r="AF95" s="525"/>
      <c r="AG95" s="525"/>
      <c r="AH95" s="525"/>
      <c r="AI95" s="525"/>
      <c r="AJ95" s="525"/>
      <c r="AK95" s="525"/>
      <c r="AL95" s="525"/>
    </row>
    <row r="96" spans="2:38" ht="15.75" hidden="1" customHeight="1" x14ac:dyDescent="0.25">
      <c r="B96" s="593" t="s">
        <v>113</v>
      </c>
      <c r="C96" s="523" t="s">
        <v>17</v>
      </c>
      <c r="D96" s="594" t="s">
        <v>273</v>
      </c>
      <c r="E96" s="525"/>
      <c r="F96" s="525"/>
      <c r="G96" s="525"/>
      <c r="H96" s="525"/>
      <c r="I96" s="525"/>
      <c r="J96" s="525"/>
      <c r="K96" s="525"/>
      <c r="L96" s="525"/>
      <c r="M96" s="525"/>
      <c r="N96" s="525"/>
      <c r="O96" s="525"/>
      <c r="P96" s="525"/>
      <c r="Q96" s="525"/>
      <c r="R96" s="525"/>
      <c r="S96" s="525"/>
      <c r="T96" s="525"/>
      <c r="U96" s="525"/>
      <c r="V96" s="525"/>
      <c r="W96" s="525"/>
      <c r="X96" s="525"/>
      <c r="Y96" s="525"/>
      <c r="Z96" s="525"/>
      <c r="AA96" s="525"/>
      <c r="AB96" s="525"/>
      <c r="AC96" s="525"/>
      <c r="AD96" s="525"/>
      <c r="AE96" s="525"/>
      <c r="AF96" s="525"/>
      <c r="AG96" s="525"/>
      <c r="AH96" s="525"/>
      <c r="AI96" s="525"/>
      <c r="AJ96" s="525"/>
      <c r="AK96" s="525"/>
      <c r="AL96" s="525"/>
    </row>
    <row r="97" spans="2:38" ht="15.75" hidden="1" customHeight="1" x14ac:dyDescent="0.25">
      <c r="B97" s="593" t="s">
        <v>114</v>
      </c>
      <c r="C97" s="523" t="s">
        <v>19</v>
      </c>
      <c r="D97" s="594" t="s">
        <v>273</v>
      </c>
      <c r="E97" s="525"/>
      <c r="F97" s="525"/>
      <c r="G97" s="525"/>
      <c r="H97" s="525"/>
      <c r="I97" s="525"/>
      <c r="J97" s="525"/>
      <c r="K97" s="525"/>
      <c r="L97" s="525"/>
      <c r="M97" s="525"/>
      <c r="N97" s="525"/>
      <c r="O97" s="525"/>
      <c r="P97" s="525"/>
      <c r="Q97" s="525"/>
      <c r="R97" s="525"/>
      <c r="S97" s="525"/>
      <c r="T97" s="525"/>
      <c r="U97" s="525"/>
      <c r="V97" s="525"/>
      <c r="W97" s="525"/>
      <c r="X97" s="525"/>
      <c r="Y97" s="525"/>
      <c r="Z97" s="525"/>
      <c r="AA97" s="525"/>
      <c r="AB97" s="525"/>
      <c r="AC97" s="525"/>
      <c r="AD97" s="525"/>
      <c r="AE97" s="525"/>
      <c r="AF97" s="525"/>
      <c r="AG97" s="525"/>
      <c r="AH97" s="525"/>
      <c r="AI97" s="525"/>
      <c r="AJ97" s="525"/>
      <c r="AK97" s="525"/>
      <c r="AL97" s="525"/>
    </row>
    <row r="98" spans="2:38" ht="15.75" hidden="1" customHeight="1" x14ac:dyDescent="0.25">
      <c r="B98" s="591">
        <v>31</v>
      </c>
      <c r="C98" s="527" t="s">
        <v>115</v>
      </c>
      <c r="D98" s="592" t="s">
        <v>2</v>
      </c>
      <c r="E98" s="525"/>
      <c r="F98" s="525"/>
      <c r="G98" s="525"/>
      <c r="H98" s="525"/>
      <c r="I98" s="525"/>
      <c r="J98" s="525"/>
      <c r="K98" s="525"/>
      <c r="L98" s="525"/>
      <c r="M98" s="525"/>
      <c r="N98" s="525"/>
      <c r="O98" s="525"/>
      <c r="P98" s="525"/>
      <c r="Q98" s="525"/>
      <c r="R98" s="525"/>
      <c r="S98" s="525"/>
      <c r="T98" s="525"/>
      <c r="U98" s="525"/>
      <c r="V98" s="525"/>
      <c r="W98" s="525"/>
      <c r="X98" s="525"/>
      <c r="Y98" s="525"/>
      <c r="Z98" s="525"/>
      <c r="AA98" s="525"/>
      <c r="AB98" s="525"/>
      <c r="AC98" s="525"/>
      <c r="AD98" s="525"/>
      <c r="AE98" s="525"/>
      <c r="AF98" s="525"/>
      <c r="AG98" s="525"/>
      <c r="AH98" s="525"/>
      <c r="AI98" s="525"/>
      <c r="AJ98" s="525"/>
      <c r="AK98" s="525"/>
      <c r="AL98" s="525"/>
    </row>
    <row r="99" spans="2:38" ht="15.75" hidden="1" customHeight="1" x14ac:dyDescent="0.25">
      <c r="B99" s="593" t="s">
        <v>116</v>
      </c>
      <c r="C99" s="523" t="s">
        <v>17</v>
      </c>
      <c r="D99" s="594" t="s">
        <v>273</v>
      </c>
      <c r="E99" s="525"/>
      <c r="F99" s="525"/>
      <c r="G99" s="525"/>
      <c r="H99" s="525"/>
      <c r="I99" s="525"/>
      <c r="J99" s="525"/>
      <c r="K99" s="525"/>
      <c r="L99" s="525"/>
      <c r="M99" s="525"/>
      <c r="N99" s="525"/>
      <c r="O99" s="525"/>
      <c r="P99" s="525"/>
      <c r="Q99" s="525"/>
      <c r="R99" s="525"/>
      <c r="S99" s="525"/>
      <c r="T99" s="525"/>
      <c r="U99" s="525"/>
      <c r="V99" s="525"/>
      <c r="W99" s="525"/>
      <c r="X99" s="525"/>
      <c r="Y99" s="525"/>
      <c r="Z99" s="525"/>
      <c r="AA99" s="525"/>
      <c r="AB99" s="525"/>
      <c r="AC99" s="525"/>
      <c r="AD99" s="525"/>
      <c r="AE99" s="525"/>
      <c r="AF99" s="525"/>
      <c r="AG99" s="525"/>
      <c r="AH99" s="525"/>
      <c r="AI99" s="525"/>
      <c r="AJ99" s="525"/>
      <c r="AK99" s="525"/>
      <c r="AL99" s="525"/>
    </row>
    <row r="100" spans="2:38" ht="15.75" hidden="1" customHeight="1" x14ac:dyDescent="0.25">
      <c r="B100" s="593" t="s">
        <v>117</v>
      </c>
      <c r="C100" s="523" t="s">
        <v>19</v>
      </c>
      <c r="D100" s="594" t="s">
        <v>273</v>
      </c>
      <c r="E100" s="525"/>
      <c r="F100" s="525"/>
      <c r="G100" s="525"/>
      <c r="H100" s="525"/>
      <c r="I100" s="525"/>
      <c r="J100" s="525"/>
      <c r="K100" s="525"/>
      <c r="L100" s="525"/>
      <c r="M100" s="525"/>
      <c r="N100" s="525"/>
      <c r="O100" s="525"/>
      <c r="P100" s="525"/>
      <c r="Q100" s="525"/>
      <c r="R100" s="525"/>
      <c r="S100" s="525"/>
      <c r="T100" s="525"/>
      <c r="U100" s="525"/>
      <c r="V100" s="525"/>
      <c r="W100" s="525"/>
      <c r="X100" s="525"/>
      <c r="Y100" s="525"/>
      <c r="Z100" s="525"/>
      <c r="AA100" s="525"/>
      <c r="AB100" s="525"/>
      <c r="AC100" s="525"/>
      <c r="AD100" s="525"/>
      <c r="AE100" s="525"/>
      <c r="AF100" s="525"/>
      <c r="AG100" s="525"/>
      <c r="AH100" s="525"/>
      <c r="AI100" s="525"/>
      <c r="AJ100" s="525"/>
      <c r="AK100" s="525"/>
      <c r="AL100" s="525"/>
    </row>
    <row r="101" spans="2:38" ht="15.75" hidden="1" customHeight="1" x14ac:dyDescent="0.25">
      <c r="B101" s="591">
        <v>32</v>
      </c>
      <c r="C101" s="527" t="s">
        <v>118</v>
      </c>
      <c r="D101" s="592" t="s">
        <v>2</v>
      </c>
      <c r="E101" s="525"/>
      <c r="F101" s="525"/>
      <c r="G101" s="525"/>
      <c r="H101" s="525"/>
      <c r="I101" s="525"/>
      <c r="J101" s="525"/>
      <c r="K101" s="525"/>
      <c r="L101" s="525"/>
      <c r="M101" s="525"/>
      <c r="N101" s="525"/>
      <c r="O101" s="525"/>
      <c r="P101" s="525"/>
      <c r="Q101" s="525"/>
      <c r="R101" s="525"/>
      <c r="S101" s="525"/>
      <c r="T101" s="525"/>
      <c r="U101" s="525"/>
      <c r="V101" s="525"/>
      <c r="W101" s="525"/>
      <c r="X101" s="525"/>
      <c r="Y101" s="525"/>
      <c r="Z101" s="525"/>
      <c r="AA101" s="525"/>
      <c r="AB101" s="525"/>
      <c r="AC101" s="525"/>
      <c r="AD101" s="525"/>
      <c r="AE101" s="525"/>
      <c r="AF101" s="525"/>
      <c r="AG101" s="525"/>
      <c r="AH101" s="525"/>
      <c r="AI101" s="525"/>
      <c r="AJ101" s="525"/>
      <c r="AK101" s="525"/>
      <c r="AL101" s="525"/>
    </row>
    <row r="102" spans="2:38" ht="15.75" hidden="1" customHeight="1" x14ac:dyDescent="0.25">
      <c r="B102" s="593" t="s">
        <v>119</v>
      </c>
      <c r="C102" s="523" t="s">
        <v>17</v>
      </c>
      <c r="D102" s="594" t="s">
        <v>273</v>
      </c>
      <c r="E102" s="525"/>
      <c r="F102" s="525"/>
      <c r="G102" s="525"/>
      <c r="H102" s="525"/>
      <c r="I102" s="525"/>
      <c r="J102" s="525"/>
      <c r="K102" s="525"/>
      <c r="L102" s="525"/>
      <c r="M102" s="525"/>
      <c r="N102" s="525"/>
      <c r="O102" s="525"/>
      <c r="P102" s="525"/>
      <c r="Q102" s="525"/>
      <c r="R102" s="525"/>
      <c r="S102" s="525"/>
      <c r="T102" s="525"/>
      <c r="U102" s="525"/>
      <c r="V102" s="525"/>
      <c r="W102" s="525"/>
      <c r="X102" s="525"/>
      <c r="Y102" s="525"/>
      <c r="Z102" s="525"/>
      <c r="AA102" s="525"/>
      <c r="AB102" s="525"/>
      <c r="AC102" s="525"/>
      <c r="AD102" s="525"/>
      <c r="AE102" s="525"/>
      <c r="AF102" s="525"/>
      <c r="AG102" s="525"/>
      <c r="AH102" s="525"/>
      <c r="AI102" s="525"/>
      <c r="AJ102" s="525"/>
      <c r="AK102" s="525"/>
      <c r="AL102" s="525"/>
    </row>
    <row r="103" spans="2:38" ht="15.75" hidden="1" customHeight="1" x14ac:dyDescent="0.25">
      <c r="B103" s="593" t="s">
        <v>120</v>
      </c>
      <c r="C103" s="523" t="s">
        <v>19</v>
      </c>
      <c r="D103" s="594" t="s">
        <v>273</v>
      </c>
      <c r="E103" s="525"/>
      <c r="F103" s="525"/>
      <c r="G103" s="525"/>
      <c r="H103" s="525"/>
      <c r="I103" s="525"/>
      <c r="J103" s="525"/>
      <c r="K103" s="525"/>
      <c r="L103" s="525"/>
      <c r="M103" s="525"/>
      <c r="N103" s="525"/>
      <c r="O103" s="525"/>
      <c r="P103" s="525"/>
      <c r="Q103" s="525"/>
      <c r="R103" s="525"/>
      <c r="S103" s="525"/>
      <c r="T103" s="525"/>
      <c r="U103" s="525"/>
      <c r="V103" s="525"/>
      <c r="W103" s="525"/>
      <c r="X103" s="525"/>
      <c r="Y103" s="525"/>
      <c r="Z103" s="525"/>
      <c r="AA103" s="525"/>
      <c r="AB103" s="525"/>
      <c r="AC103" s="525"/>
      <c r="AD103" s="525"/>
      <c r="AE103" s="525"/>
      <c r="AF103" s="525"/>
      <c r="AG103" s="525"/>
      <c r="AH103" s="525"/>
      <c r="AI103" s="525"/>
      <c r="AJ103" s="525"/>
      <c r="AK103" s="525"/>
      <c r="AL103" s="525"/>
    </row>
    <row r="104" spans="2:38" ht="15.75" hidden="1" customHeight="1" x14ac:dyDescent="0.25">
      <c r="B104" s="591">
        <v>33</v>
      </c>
      <c r="C104" s="527" t="s">
        <v>121</v>
      </c>
      <c r="D104" s="592" t="s">
        <v>2</v>
      </c>
      <c r="E104" s="525"/>
      <c r="F104" s="525"/>
      <c r="G104" s="525"/>
      <c r="H104" s="525"/>
      <c r="I104" s="525"/>
      <c r="J104" s="525"/>
      <c r="K104" s="525"/>
      <c r="L104" s="525"/>
      <c r="M104" s="525"/>
      <c r="N104" s="525"/>
      <c r="O104" s="525"/>
      <c r="P104" s="525"/>
      <c r="Q104" s="525"/>
      <c r="R104" s="525"/>
      <c r="S104" s="525"/>
      <c r="T104" s="525"/>
      <c r="U104" s="525"/>
      <c r="V104" s="525"/>
      <c r="W104" s="525"/>
      <c r="X104" s="525"/>
      <c r="Y104" s="525"/>
      <c r="Z104" s="525"/>
      <c r="AA104" s="525"/>
      <c r="AB104" s="525"/>
      <c r="AC104" s="525"/>
      <c r="AD104" s="525"/>
      <c r="AE104" s="525"/>
      <c r="AF104" s="525"/>
      <c r="AG104" s="525"/>
      <c r="AH104" s="525"/>
      <c r="AI104" s="525"/>
      <c r="AJ104" s="525"/>
      <c r="AK104" s="525"/>
      <c r="AL104" s="525"/>
    </row>
    <row r="105" spans="2:38" ht="15.75" hidden="1" customHeight="1" x14ac:dyDescent="0.25">
      <c r="B105" s="593" t="s">
        <v>122</v>
      </c>
      <c r="C105" s="523" t="s">
        <v>17</v>
      </c>
      <c r="D105" s="594" t="s">
        <v>273</v>
      </c>
      <c r="E105" s="525"/>
      <c r="F105" s="525"/>
      <c r="G105" s="525"/>
      <c r="H105" s="525"/>
      <c r="I105" s="525"/>
      <c r="J105" s="525"/>
      <c r="K105" s="525"/>
      <c r="L105" s="525"/>
      <c r="M105" s="525"/>
      <c r="N105" s="525"/>
      <c r="O105" s="525"/>
      <c r="P105" s="525"/>
      <c r="Q105" s="525"/>
      <c r="R105" s="525"/>
      <c r="S105" s="525"/>
      <c r="T105" s="525"/>
      <c r="U105" s="525"/>
      <c r="V105" s="525"/>
      <c r="W105" s="525"/>
      <c r="X105" s="525"/>
      <c r="Y105" s="525"/>
      <c r="Z105" s="525"/>
      <c r="AA105" s="525"/>
      <c r="AB105" s="525"/>
      <c r="AC105" s="525"/>
      <c r="AD105" s="525"/>
      <c r="AE105" s="525"/>
      <c r="AF105" s="525"/>
      <c r="AG105" s="525"/>
      <c r="AH105" s="525"/>
      <c r="AI105" s="525"/>
      <c r="AJ105" s="525"/>
      <c r="AK105" s="525"/>
      <c r="AL105" s="525"/>
    </row>
    <row r="106" spans="2:38" ht="15.75" hidden="1" customHeight="1" x14ac:dyDescent="0.25">
      <c r="B106" s="593" t="s">
        <v>123</v>
      </c>
      <c r="C106" s="523" t="s">
        <v>19</v>
      </c>
      <c r="D106" s="594" t="s">
        <v>273</v>
      </c>
      <c r="E106" s="525"/>
      <c r="F106" s="525"/>
      <c r="G106" s="525"/>
      <c r="H106" s="525"/>
      <c r="I106" s="525"/>
      <c r="J106" s="525"/>
      <c r="K106" s="525"/>
      <c r="L106" s="525"/>
      <c r="M106" s="525"/>
      <c r="N106" s="525"/>
      <c r="O106" s="525"/>
      <c r="P106" s="525"/>
      <c r="Q106" s="525"/>
      <c r="R106" s="525"/>
      <c r="S106" s="525"/>
      <c r="T106" s="525"/>
      <c r="U106" s="525"/>
      <c r="V106" s="525"/>
      <c r="W106" s="525"/>
      <c r="X106" s="525"/>
      <c r="Y106" s="525"/>
      <c r="Z106" s="525"/>
      <c r="AA106" s="525"/>
      <c r="AB106" s="525"/>
      <c r="AC106" s="525"/>
      <c r="AD106" s="525"/>
      <c r="AE106" s="525"/>
      <c r="AF106" s="525"/>
      <c r="AG106" s="525"/>
      <c r="AH106" s="525"/>
      <c r="AI106" s="525"/>
      <c r="AJ106" s="525"/>
      <c r="AK106" s="525"/>
      <c r="AL106" s="525"/>
    </row>
    <row r="107" spans="2:38" ht="15.75" hidden="1" customHeight="1" x14ac:dyDescent="0.25">
      <c r="B107" s="591">
        <v>34</v>
      </c>
      <c r="C107" s="527" t="s">
        <v>124</v>
      </c>
      <c r="D107" s="592" t="s">
        <v>2</v>
      </c>
      <c r="E107" s="525"/>
      <c r="F107" s="525"/>
      <c r="G107" s="525"/>
      <c r="H107" s="525"/>
      <c r="I107" s="525"/>
      <c r="J107" s="525"/>
      <c r="K107" s="525"/>
      <c r="L107" s="525"/>
      <c r="M107" s="525"/>
      <c r="N107" s="525"/>
      <c r="O107" s="525"/>
      <c r="P107" s="525"/>
      <c r="Q107" s="525"/>
      <c r="R107" s="525"/>
      <c r="S107" s="525"/>
      <c r="T107" s="525"/>
      <c r="U107" s="525"/>
      <c r="V107" s="525"/>
      <c r="W107" s="525"/>
      <c r="X107" s="525"/>
      <c r="Y107" s="525"/>
      <c r="Z107" s="525"/>
      <c r="AA107" s="525"/>
      <c r="AB107" s="525"/>
      <c r="AC107" s="525"/>
      <c r="AD107" s="525"/>
      <c r="AE107" s="525"/>
      <c r="AF107" s="525"/>
      <c r="AG107" s="525"/>
      <c r="AH107" s="525"/>
      <c r="AI107" s="525"/>
      <c r="AJ107" s="525"/>
      <c r="AK107" s="525"/>
      <c r="AL107" s="525"/>
    </row>
    <row r="108" spans="2:38" ht="15.75" hidden="1" customHeight="1" x14ac:dyDescent="0.25">
      <c r="B108" s="593" t="s">
        <v>125</v>
      </c>
      <c r="C108" s="523" t="s">
        <v>17</v>
      </c>
      <c r="D108" s="594" t="s">
        <v>273</v>
      </c>
      <c r="E108" s="525"/>
      <c r="F108" s="525"/>
      <c r="G108" s="525"/>
      <c r="H108" s="525"/>
      <c r="I108" s="525"/>
      <c r="J108" s="525"/>
      <c r="K108" s="525"/>
      <c r="L108" s="525"/>
      <c r="M108" s="525"/>
      <c r="N108" s="525"/>
      <c r="O108" s="525"/>
      <c r="P108" s="525"/>
      <c r="Q108" s="525"/>
      <c r="R108" s="525"/>
      <c r="S108" s="525"/>
      <c r="T108" s="525"/>
      <c r="U108" s="525"/>
      <c r="V108" s="525"/>
      <c r="W108" s="525"/>
      <c r="X108" s="525"/>
      <c r="Y108" s="525"/>
      <c r="Z108" s="525"/>
      <c r="AA108" s="525"/>
      <c r="AB108" s="525"/>
      <c r="AC108" s="525"/>
      <c r="AD108" s="525"/>
      <c r="AE108" s="525"/>
      <c r="AF108" s="525"/>
      <c r="AG108" s="525"/>
      <c r="AH108" s="525"/>
      <c r="AI108" s="525"/>
      <c r="AJ108" s="525"/>
      <c r="AK108" s="525"/>
      <c r="AL108" s="525"/>
    </row>
    <row r="109" spans="2:38" ht="15.75" hidden="1" customHeight="1" x14ac:dyDescent="0.25">
      <c r="B109" s="593" t="s">
        <v>126</v>
      </c>
      <c r="C109" s="523" t="s">
        <v>19</v>
      </c>
      <c r="D109" s="594" t="s">
        <v>273</v>
      </c>
      <c r="E109" s="525"/>
      <c r="F109" s="525"/>
      <c r="G109" s="525"/>
      <c r="H109" s="525"/>
      <c r="I109" s="525"/>
      <c r="J109" s="525"/>
      <c r="K109" s="525"/>
      <c r="L109" s="525"/>
      <c r="M109" s="525"/>
      <c r="N109" s="525"/>
      <c r="O109" s="525"/>
      <c r="P109" s="525"/>
      <c r="Q109" s="525"/>
      <c r="R109" s="525"/>
      <c r="S109" s="525"/>
      <c r="T109" s="525"/>
      <c r="U109" s="525"/>
      <c r="V109" s="525"/>
      <c r="W109" s="525"/>
      <c r="X109" s="525"/>
      <c r="Y109" s="525"/>
      <c r="Z109" s="525"/>
      <c r="AA109" s="525"/>
      <c r="AB109" s="525"/>
      <c r="AC109" s="525"/>
      <c r="AD109" s="525"/>
      <c r="AE109" s="525"/>
      <c r="AF109" s="525"/>
      <c r="AG109" s="525"/>
      <c r="AH109" s="525"/>
      <c r="AI109" s="525"/>
      <c r="AJ109" s="525"/>
      <c r="AK109" s="525"/>
      <c r="AL109" s="525"/>
    </row>
    <row r="110" spans="2:38" ht="15.75" hidden="1" customHeight="1" x14ac:dyDescent="0.25">
      <c r="B110" s="595" t="s">
        <v>127</v>
      </c>
      <c r="C110" s="527" t="s">
        <v>128</v>
      </c>
      <c r="D110" s="592" t="s">
        <v>2</v>
      </c>
      <c r="E110" s="525"/>
      <c r="F110" s="525"/>
      <c r="G110" s="525"/>
      <c r="H110" s="525"/>
      <c r="I110" s="525"/>
      <c r="J110" s="525"/>
      <c r="K110" s="525"/>
      <c r="L110" s="525"/>
      <c r="M110" s="525"/>
      <c r="N110" s="525"/>
      <c r="O110" s="525"/>
      <c r="P110" s="525"/>
      <c r="Q110" s="525"/>
      <c r="R110" s="525"/>
      <c r="S110" s="525"/>
      <c r="T110" s="525"/>
      <c r="U110" s="525"/>
      <c r="V110" s="525"/>
      <c r="W110" s="525"/>
      <c r="X110" s="525"/>
      <c r="Y110" s="525"/>
      <c r="Z110" s="525"/>
      <c r="AA110" s="525"/>
      <c r="AB110" s="525"/>
      <c r="AC110" s="525"/>
      <c r="AD110" s="525"/>
      <c r="AE110" s="525"/>
      <c r="AF110" s="525"/>
      <c r="AG110" s="525"/>
      <c r="AH110" s="525"/>
      <c r="AI110" s="525"/>
      <c r="AJ110" s="525"/>
      <c r="AK110" s="525"/>
      <c r="AL110" s="525"/>
    </row>
    <row r="111" spans="2:38" ht="15.75" hidden="1" customHeight="1" x14ac:dyDescent="0.25">
      <c r="B111" s="593" t="s">
        <v>129</v>
      </c>
      <c r="C111" s="523" t="s">
        <v>17</v>
      </c>
      <c r="D111" s="594" t="s">
        <v>273</v>
      </c>
      <c r="E111" s="525"/>
      <c r="F111" s="525"/>
      <c r="G111" s="525"/>
      <c r="H111" s="525"/>
      <c r="I111" s="525"/>
      <c r="J111" s="525"/>
      <c r="K111" s="525"/>
      <c r="L111" s="525"/>
      <c r="M111" s="525"/>
      <c r="N111" s="525"/>
      <c r="O111" s="525"/>
      <c r="P111" s="525"/>
      <c r="Q111" s="525"/>
      <c r="R111" s="525"/>
      <c r="S111" s="525"/>
      <c r="T111" s="525"/>
      <c r="U111" s="525"/>
      <c r="V111" s="525"/>
      <c r="W111" s="525"/>
      <c r="X111" s="525"/>
      <c r="Y111" s="525"/>
      <c r="Z111" s="525"/>
      <c r="AA111" s="525"/>
      <c r="AB111" s="525"/>
      <c r="AC111" s="525"/>
      <c r="AD111" s="525"/>
      <c r="AE111" s="525"/>
      <c r="AF111" s="525"/>
      <c r="AG111" s="525"/>
      <c r="AH111" s="525"/>
      <c r="AI111" s="525"/>
      <c r="AJ111" s="525"/>
      <c r="AK111" s="525"/>
      <c r="AL111" s="525"/>
    </row>
    <row r="112" spans="2:38" ht="15.75" hidden="1" customHeight="1" x14ac:dyDescent="0.25">
      <c r="B112" s="593" t="s">
        <v>130</v>
      </c>
      <c r="C112" s="523" t="s">
        <v>19</v>
      </c>
      <c r="D112" s="594" t="s">
        <v>273</v>
      </c>
      <c r="E112" s="525"/>
      <c r="F112" s="525"/>
      <c r="G112" s="525"/>
      <c r="H112" s="525"/>
      <c r="I112" s="525"/>
      <c r="J112" s="525"/>
      <c r="K112" s="525"/>
      <c r="L112" s="525"/>
      <c r="M112" s="525"/>
      <c r="N112" s="525"/>
      <c r="O112" s="525"/>
      <c r="P112" s="525"/>
      <c r="Q112" s="525"/>
      <c r="R112" s="525"/>
      <c r="S112" s="525"/>
      <c r="T112" s="525"/>
      <c r="U112" s="525"/>
      <c r="V112" s="525"/>
      <c r="W112" s="525"/>
      <c r="X112" s="525"/>
      <c r="Y112" s="525"/>
      <c r="Z112" s="525"/>
      <c r="AA112" s="525"/>
      <c r="AB112" s="525"/>
      <c r="AC112" s="525"/>
      <c r="AD112" s="525"/>
      <c r="AE112" s="525"/>
      <c r="AF112" s="525"/>
      <c r="AG112" s="525"/>
      <c r="AH112" s="525"/>
      <c r="AI112" s="525"/>
      <c r="AJ112" s="525"/>
      <c r="AK112" s="525"/>
      <c r="AL112" s="525"/>
    </row>
    <row r="113" spans="2:38" ht="15.75" hidden="1" customHeight="1" x14ac:dyDescent="0.25">
      <c r="B113" s="591">
        <v>36</v>
      </c>
      <c r="C113" s="527" t="s">
        <v>131</v>
      </c>
      <c r="D113" s="592" t="s">
        <v>2</v>
      </c>
      <c r="E113" s="525"/>
      <c r="F113" s="525"/>
      <c r="G113" s="525"/>
      <c r="H113" s="525"/>
      <c r="I113" s="525"/>
      <c r="J113" s="525"/>
      <c r="K113" s="525"/>
      <c r="L113" s="525"/>
      <c r="M113" s="525"/>
      <c r="N113" s="525"/>
      <c r="O113" s="525"/>
      <c r="P113" s="525"/>
      <c r="Q113" s="525"/>
      <c r="R113" s="525"/>
      <c r="S113" s="525"/>
      <c r="T113" s="525"/>
      <c r="U113" s="525"/>
      <c r="V113" s="525"/>
      <c r="W113" s="525"/>
      <c r="X113" s="525"/>
      <c r="Y113" s="525"/>
      <c r="Z113" s="525"/>
      <c r="AA113" s="525"/>
      <c r="AB113" s="525"/>
      <c r="AC113" s="525"/>
      <c r="AD113" s="525"/>
      <c r="AE113" s="525"/>
      <c r="AF113" s="525"/>
      <c r="AG113" s="525"/>
      <c r="AH113" s="525"/>
      <c r="AI113" s="525"/>
      <c r="AJ113" s="525"/>
      <c r="AK113" s="525"/>
      <c r="AL113" s="525"/>
    </row>
    <row r="114" spans="2:38" ht="15.75" hidden="1" customHeight="1" x14ac:dyDescent="0.25">
      <c r="B114" s="593" t="s">
        <v>132</v>
      </c>
      <c r="C114" s="523" t="s">
        <v>17</v>
      </c>
      <c r="D114" s="594" t="s">
        <v>273</v>
      </c>
      <c r="E114" s="525"/>
      <c r="F114" s="525"/>
      <c r="G114" s="525"/>
      <c r="H114" s="525"/>
      <c r="I114" s="525"/>
      <c r="J114" s="525"/>
      <c r="K114" s="525"/>
      <c r="L114" s="525"/>
      <c r="M114" s="525"/>
      <c r="N114" s="525"/>
      <c r="O114" s="525"/>
      <c r="P114" s="525"/>
      <c r="Q114" s="525"/>
      <c r="R114" s="525"/>
      <c r="S114" s="525"/>
      <c r="T114" s="525"/>
      <c r="U114" s="525"/>
      <c r="V114" s="525"/>
      <c r="W114" s="525"/>
      <c r="X114" s="525"/>
      <c r="Y114" s="525"/>
      <c r="Z114" s="525"/>
      <c r="AA114" s="525"/>
      <c r="AB114" s="525"/>
      <c r="AC114" s="525"/>
      <c r="AD114" s="525"/>
      <c r="AE114" s="525"/>
      <c r="AF114" s="525"/>
      <c r="AG114" s="525"/>
      <c r="AH114" s="525"/>
      <c r="AI114" s="525"/>
      <c r="AJ114" s="525"/>
      <c r="AK114" s="525"/>
      <c r="AL114" s="525"/>
    </row>
    <row r="115" spans="2:38" ht="15.75" hidden="1" customHeight="1" x14ac:dyDescent="0.25">
      <c r="B115" s="593" t="s">
        <v>133</v>
      </c>
      <c r="C115" s="523" t="s">
        <v>19</v>
      </c>
      <c r="D115" s="594" t="s">
        <v>273</v>
      </c>
      <c r="E115" s="525"/>
      <c r="F115" s="525"/>
      <c r="G115" s="525"/>
      <c r="H115" s="525"/>
      <c r="I115" s="525"/>
      <c r="J115" s="525"/>
      <c r="K115" s="525"/>
      <c r="L115" s="525"/>
      <c r="M115" s="525"/>
      <c r="N115" s="525"/>
      <c r="O115" s="525"/>
      <c r="P115" s="525"/>
      <c r="Q115" s="525"/>
      <c r="R115" s="525"/>
      <c r="S115" s="525"/>
      <c r="T115" s="525"/>
      <c r="U115" s="525"/>
      <c r="V115" s="525"/>
      <c r="W115" s="525"/>
      <c r="X115" s="525"/>
      <c r="Y115" s="525"/>
      <c r="Z115" s="525"/>
      <c r="AA115" s="525"/>
      <c r="AB115" s="525"/>
      <c r="AC115" s="525"/>
      <c r="AD115" s="525"/>
      <c r="AE115" s="525"/>
      <c r="AF115" s="525"/>
      <c r="AG115" s="525"/>
      <c r="AH115" s="525"/>
      <c r="AI115" s="525"/>
      <c r="AJ115" s="525"/>
      <c r="AK115" s="525"/>
      <c r="AL115" s="525"/>
    </row>
    <row r="116" spans="2:38" ht="15.75" hidden="1" customHeight="1" x14ac:dyDescent="0.25">
      <c r="B116" s="591">
        <v>37</v>
      </c>
      <c r="C116" s="527" t="s">
        <v>134</v>
      </c>
      <c r="D116" s="592" t="s">
        <v>2</v>
      </c>
      <c r="E116" s="525"/>
      <c r="F116" s="525"/>
      <c r="G116" s="525"/>
      <c r="H116" s="525"/>
      <c r="I116" s="525"/>
      <c r="J116" s="525"/>
      <c r="K116" s="525"/>
      <c r="L116" s="525"/>
      <c r="M116" s="525"/>
      <c r="N116" s="525"/>
      <c r="O116" s="525"/>
      <c r="P116" s="525"/>
      <c r="Q116" s="525"/>
      <c r="R116" s="525"/>
      <c r="S116" s="525"/>
      <c r="T116" s="525"/>
      <c r="U116" s="525"/>
      <c r="V116" s="525"/>
      <c r="W116" s="525"/>
      <c r="X116" s="525"/>
      <c r="Y116" s="525"/>
      <c r="Z116" s="525"/>
      <c r="AA116" s="525"/>
      <c r="AB116" s="525"/>
      <c r="AC116" s="525"/>
      <c r="AD116" s="525"/>
      <c r="AE116" s="525"/>
      <c r="AF116" s="525"/>
      <c r="AG116" s="525"/>
      <c r="AH116" s="525"/>
      <c r="AI116" s="525"/>
      <c r="AJ116" s="525"/>
      <c r="AK116" s="525"/>
      <c r="AL116" s="525"/>
    </row>
    <row r="117" spans="2:38" ht="15.75" hidden="1" customHeight="1" x14ac:dyDescent="0.25">
      <c r="B117" s="593" t="s">
        <v>135</v>
      </c>
      <c r="C117" s="523" t="s">
        <v>17</v>
      </c>
      <c r="D117" s="594" t="s">
        <v>273</v>
      </c>
      <c r="E117" s="525"/>
      <c r="F117" s="525"/>
      <c r="G117" s="525"/>
      <c r="H117" s="525"/>
      <c r="I117" s="525"/>
      <c r="J117" s="525"/>
      <c r="K117" s="525"/>
      <c r="L117" s="525"/>
      <c r="M117" s="525"/>
      <c r="N117" s="525"/>
      <c r="O117" s="525"/>
      <c r="P117" s="525"/>
      <c r="Q117" s="525"/>
      <c r="R117" s="525"/>
      <c r="S117" s="525"/>
      <c r="T117" s="525"/>
      <c r="U117" s="525"/>
      <c r="V117" s="525"/>
      <c r="W117" s="525"/>
      <c r="X117" s="525"/>
      <c r="Y117" s="525"/>
      <c r="Z117" s="525"/>
      <c r="AA117" s="525"/>
      <c r="AB117" s="525"/>
      <c r="AC117" s="525"/>
      <c r="AD117" s="525"/>
      <c r="AE117" s="525"/>
      <c r="AF117" s="525"/>
      <c r="AG117" s="525"/>
      <c r="AH117" s="525"/>
      <c r="AI117" s="525"/>
      <c r="AJ117" s="525"/>
      <c r="AK117" s="525"/>
      <c r="AL117" s="525"/>
    </row>
    <row r="118" spans="2:38" ht="15.75" hidden="1" customHeight="1" x14ac:dyDescent="0.25">
      <c r="B118" s="593" t="s">
        <v>136</v>
      </c>
      <c r="C118" s="523" t="s">
        <v>19</v>
      </c>
      <c r="D118" s="594" t="s">
        <v>273</v>
      </c>
      <c r="E118" s="525"/>
      <c r="F118" s="525"/>
      <c r="G118" s="525"/>
      <c r="H118" s="525"/>
      <c r="I118" s="525"/>
      <c r="J118" s="525"/>
      <c r="K118" s="525"/>
      <c r="L118" s="525"/>
      <c r="M118" s="525"/>
      <c r="N118" s="525"/>
      <c r="O118" s="525"/>
      <c r="P118" s="525"/>
      <c r="Q118" s="525"/>
      <c r="R118" s="525"/>
      <c r="S118" s="525"/>
      <c r="T118" s="525"/>
      <c r="U118" s="525"/>
      <c r="V118" s="525"/>
      <c r="W118" s="525"/>
      <c r="X118" s="525"/>
      <c r="Y118" s="525"/>
      <c r="Z118" s="525"/>
      <c r="AA118" s="525"/>
      <c r="AB118" s="525"/>
      <c r="AC118" s="525"/>
      <c r="AD118" s="525"/>
      <c r="AE118" s="525"/>
      <c r="AF118" s="525"/>
      <c r="AG118" s="525"/>
      <c r="AH118" s="525"/>
      <c r="AI118" s="525"/>
      <c r="AJ118" s="525"/>
      <c r="AK118" s="525"/>
      <c r="AL118" s="525"/>
    </row>
    <row r="119" spans="2:38" ht="15.75" hidden="1" customHeight="1" x14ac:dyDescent="0.25">
      <c r="B119" s="595" t="s">
        <v>137</v>
      </c>
      <c r="C119" s="527" t="s">
        <v>138</v>
      </c>
      <c r="D119" s="592" t="s">
        <v>2</v>
      </c>
      <c r="E119" s="525"/>
      <c r="F119" s="525"/>
      <c r="G119" s="525"/>
      <c r="H119" s="525"/>
      <c r="I119" s="525"/>
      <c r="J119" s="525"/>
      <c r="K119" s="525"/>
      <c r="L119" s="525"/>
      <c r="M119" s="525"/>
      <c r="N119" s="525"/>
      <c r="O119" s="525"/>
      <c r="P119" s="525"/>
      <c r="Q119" s="525"/>
      <c r="R119" s="525"/>
      <c r="S119" s="525"/>
      <c r="T119" s="525"/>
      <c r="U119" s="525"/>
      <c r="V119" s="525"/>
      <c r="W119" s="525"/>
      <c r="X119" s="525"/>
      <c r="Y119" s="525"/>
      <c r="Z119" s="525"/>
      <c r="AA119" s="525"/>
      <c r="AB119" s="525"/>
      <c r="AC119" s="525"/>
      <c r="AD119" s="525"/>
      <c r="AE119" s="525"/>
      <c r="AF119" s="525"/>
      <c r="AG119" s="525"/>
      <c r="AH119" s="525"/>
      <c r="AI119" s="525"/>
      <c r="AJ119" s="525"/>
      <c r="AK119" s="525"/>
      <c r="AL119" s="525"/>
    </row>
    <row r="120" spans="2:38" ht="15.75" hidden="1" customHeight="1" x14ac:dyDescent="0.25">
      <c r="B120" s="593" t="s">
        <v>139</v>
      </c>
      <c r="C120" s="523" t="s">
        <v>17</v>
      </c>
      <c r="D120" s="594" t="s">
        <v>273</v>
      </c>
      <c r="E120" s="525"/>
      <c r="F120" s="525"/>
      <c r="G120" s="525"/>
      <c r="H120" s="525"/>
      <c r="I120" s="525"/>
      <c r="J120" s="525"/>
      <c r="K120" s="525"/>
      <c r="L120" s="525"/>
      <c r="M120" s="525"/>
      <c r="N120" s="525"/>
      <c r="O120" s="525"/>
      <c r="P120" s="525"/>
      <c r="Q120" s="525"/>
      <c r="R120" s="525"/>
      <c r="S120" s="525"/>
      <c r="T120" s="525"/>
      <c r="U120" s="525"/>
      <c r="V120" s="525"/>
      <c r="W120" s="525"/>
      <c r="X120" s="525"/>
      <c r="Y120" s="525"/>
      <c r="Z120" s="525"/>
      <c r="AA120" s="525"/>
      <c r="AB120" s="525"/>
      <c r="AC120" s="525"/>
      <c r="AD120" s="525"/>
      <c r="AE120" s="525"/>
      <c r="AF120" s="525"/>
      <c r="AG120" s="525"/>
      <c r="AH120" s="525"/>
      <c r="AI120" s="525"/>
      <c r="AJ120" s="525"/>
      <c r="AK120" s="525"/>
      <c r="AL120" s="525"/>
    </row>
    <row r="121" spans="2:38" ht="15.75" hidden="1" customHeight="1" x14ac:dyDescent="0.25">
      <c r="B121" s="593" t="s">
        <v>140</v>
      </c>
      <c r="C121" s="523" t="s">
        <v>19</v>
      </c>
      <c r="D121" s="594" t="s">
        <v>273</v>
      </c>
      <c r="E121" s="525"/>
      <c r="F121" s="525"/>
      <c r="G121" s="525"/>
      <c r="H121" s="525"/>
      <c r="I121" s="525"/>
      <c r="J121" s="525"/>
      <c r="K121" s="525"/>
      <c r="L121" s="525"/>
      <c r="M121" s="525"/>
      <c r="N121" s="525"/>
      <c r="O121" s="525"/>
      <c r="P121" s="525"/>
      <c r="Q121" s="525"/>
      <c r="R121" s="525"/>
      <c r="S121" s="525"/>
      <c r="T121" s="525"/>
      <c r="U121" s="525"/>
      <c r="V121" s="525"/>
      <c r="W121" s="525"/>
      <c r="X121" s="525"/>
      <c r="Y121" s="525"/>
      <c r="Z121" s="525"/>
      <c r="AA121" s="525"/>
      <c r="AB121" s="525"/>
      <c r="AC121" s="525"/>
      <c r="AD121" s="525"/>
      <c r="AE121" s="525"/>
      <c r="AF121" s="525"/>
      <c r="AG121" s="525"/>
      <c r="AH121" s="525"/>
      <c r="AI121" s="525"/>
      <c r="AJ121" s="525"/>
      <c r="AK121" s="525"/>
      <c r="AL121" s="525"/>
    </row>
    <row r="122" spans="2:38" ht="15.75" hidden="1" customHeight="1" x14ac:dyDescent="0.25">
      <c r="B122" s="591">
        <v>39</v>
      </c>
      <c r="C122" s="527" t="s">
        <v>141</v>
      </c>
      <c r="D122" s="592" t="s">
        <v>2</v>
      </c>
      <c r="E122" s="525"/>
      <c r="F122" s="525"/>
      <c r="G122" s="525"/>
      <c r="H122" s="525"/>
      <c r="I122" s="525"/>
      <c r="J122" s="525"/>
      <c r="K122" s="525"/>
      <c r="L122" s="525"/>
      <c r="M122" s="525"/>
      <c r="N122" s="525"/>
      <c r="O122" s="525"/>
      <c r="P122" s="525"/>
      <c r="Q122" s="525"/>
      <c r="R122" s="525"/>
      <c r="S122" s="525"/>
      <c r="T122" s="525"/>
      <c r="U122" s="525"/>
      <c r="V122" s="525"/>
      <c r="W122" s="525"/>
      <c r="X122" s="525"/>
      <c r="Y122" s="525"/>
      <c r="Z122" s="525"/>
      <c r="AA122" s="525"/>
      <c r="AB122" s="525"/>
      <c r="AC122" s="525"/>
      <c r="AD122" s="525"/>
      <c r="AE122" s="525"/>
      <c r="AF122" s="525"/>
      <c r="AG122" s="525"/>
      <c r="AH122" s="525"/>
      <c r="AI122" s="525"/>
      <c r="AJ122" s="525"/>
      <c r="AK122" s="525"/>
      <c r="AL122" s="525"/>
    </row>
    <row r="123" spans="2:38" ht="15.75" hidden="1" customHeight="1" x14ac:dyDescent="0.25">
      <c r="B123" s="593" t="s">
        <v>142</v>
      </c>
      <c r="C123" s="523" t="s">
        <v>17</v>
      </c>
      <c r="D123" s="594" t="s">
        <v>273</v>
      </c>
      <c r="E123" s="525"/>
      <c r="F123" s="525"/>
      <c r="G123" s="525"/>
      <c r="H123" s="525"/>
      <c r="I123" s="525"/>
      <c r="J123" s="525"/>
      <c r="K123" s="525"/>
      <c r="L123" s="525"/>
      <c r="M123" s="525"/>
      <c r="N123" s="525"/>
      <c r="O123" s="525"/>
      <c r="P123" s="525"/>
      <c r="Q123" s="525"/>
      <c r="R123" s="525"/>
      <c r="S123" s="525"/>
      <c r="T123" s="525"/>
      <c r="U123" s="525"/>
      <c r="V123" s="525"/>
      <c r="W123" s="525"/>
      <c r="X123" s="525"/>
      <c r="Y123" s="525"/>
      <c r="Z123" s="525"/>
      <c r="AA123" s="525"/>
      <c r="AB123" s="525"/>
      <c r="AC123" s="525"/>
      <c r="AD123" s="525"/>
      <c r="AE123" s="525"/>
      <c r="AF123" s="525"/>
      <c r="AG123" s="525"/>
      <c r="AH123" s="525"/>
      <c r="AI123" s="525"/>
      <c r="AJ123" s="525"/>
      <c r="AK123" s="525"/>
      <c r="AL123" s="525"/>
    </row>
    <row r="124" spans="2:38" ht="15.75" hidden="1" customHeight="1" x14ac:dyDescent="0.25">
      <c r="B124" s="593" t="s">
        <v>143</v>
      </c>
      <c r="C124" s="523" t="s">
        <v>19</v>
      </c>
      <c r="D124" s="594" t="s">
        <v>273</v>
      </c>
      <c r="E124" s="525"/>
      <c r="F124" s="525"/>
      <c r="G124" s="525"/>
      <c r="H124" s="525"/>
      <c r="I124" s="525"/>
      <c r="J124" s="525"/>
      <c r="K124" s="525"/>
      <c r="L124" s="525"/>
      <c r="M124" s="525"/>
      <c r="N124" s="525"/>
      <c r="O124" s="525"/>
      <c r="P124" s="525"/>
      <c r="Q124" s="525"/>
      <c r="R124" s="525"/>
      <c r="S124" s="525"/>
      <c r="T124" s="525"/>
      <c r="U124" s="525"/>
      <c r="V124" s="525"/>
      <c r="W124" s="525"/>
      <c r="X124" s="525"/>
      <c r="Y124" s="525"/>
      <c r="Z124" s="525"/>
      <c r="AA124" s="525"/>
      <c r="AB124" s="525"/>
      <c r="AC124" s="525"/>
      <c r="AD124" s="525"/>
      <c r="AE124" s="525"/>
      <c r="AF124" s="525"/>
      <c r="AG124" s="525"/>
      <c r="AH124" s="525"/>
      <c r="AI124" s="525"/>
      <c r="AJ124" s="525"/>
      <c r="AK124" s="525"/>
      <c r="AL124" s="525"/>
    </row>
    <row r="125" spans="2:38" ht="15.75" hidden="1" customHeight="1" x14ac:dyDescent="0.25">
      <c r="B125" s="591">
        <v>40</v>
      </c>
      <c r="C125" s="527" t="s">
        <v>144</v>
      </c>
      <c r="D125" s="592" t="s">
        <v>2</v>
      </c>
      <c r="E125" s="525"/>
      <c r="F125" s="525"/>
      <c r="G125" s="525"/>
      <c r="H125" s="525"/>
      <c r="I125" s="525"/>
      <c r="J125" s="525"/>
      <c r="K125" s="525"/>
      <c r="L125" s="525"/>
      <c r="M125" s="525"/>
      <c r="N125" s="525"/>
      <c r="O125" s="525"/>
      <c r="P125" s="525"/>
      <c r="Q125" s="525"/>
      <c r="R125" s="525"/>
      <c r="S125" s="525"/>
      <c r="T125" s="525"/>
      <c r="U125" s="525"/>
      <c r="V125" s="525"/>
      <c r="W125" s="525"/>
      <c r="X125" s="525"/>
      <c r="Y125" s="525"/>
      <c r="Z125" s="525"/>
      <c r="AA125" s="525"/>
      <c r="AB125" s="525"/>
      <c r="AC125" s="525"/>
      <c r="AD125" s="525"/>
      <c r="AE125" s="525"/>
      <c r="AF125" s="525"/>
      <c r="AG125" s="525"/>
      <c r="AH125" s="525"/>
      <c r="AI125" s="525"/>
      <c r="AJ125" s="525"/>
      <c r="AK125" s="525"/>
      <c r="AL125" s="525"/>
    </row>
    <row r="126" spans="2:38" ht="15.75" hidden="1" customHeight="1" x14ac:dyDescent="0.25">
      <c r="B126" s="593" t="s">
        <v>145</v>
      </c>
      <c r="C126" s="523" t="s">
        <v>17</v>
      </c>
      <c r="D126" s="594" t="s">
        <v>273</v>
      </c>
      <c r="E126" s="525"/>
      <c r="F126" s="525"/>
      <c r="G126" s="525"/>
      <c r="H126" s="525"/>
      <c r="I126" s="525"/>
      <c r="J126" s="525"/>
      <c r="K126" s="525"/>
      <c r="L126" s="525"/>
      <c r="M126" s="525"/>
      <c r="N126" s="525"/>
      <c r="O126" s="525"/>
      <c r="P126" s="525"/>
      <c r="Q126" s="525"/>
      <c r="R126" s="525"/>
      <c r="S126" s="525"/>
      <c r="T126" s="525"/>
      <c r="U126" s="525"/>
      <c r="V126" s="525"/>
      <c r="W126" s="525"/>
      <c r="X126" s="525"/>
      <c r="Y126" s="525"/>
      <c r="Z126" s="525"/>
      <c r="AA126" s="525"/>
      <c r="AB126" s="525"/>
      <c r="AC126" s="525"/>
      <c r="AD126" s="525"/>
      <c r="AE126" s="525"/>
      <c r="AF126" s="525"/>
      <c r="AG126" s="525"/>
      <c r="AH126" s="525"/>
      <c r="AI126" s="525"/>
      <c r="AJ126" s="525"/>
      <c r="AK126" s="525"/>
      <c r="AL126" s="525"/>
    </row>
    <row r="127" spans="2:38" ht="15.75" hidden="1" customHeight="1" x14ac:dyDescent="0.25">
      <c r="B127" s="593" t="s">
        <v>146</v>
      </c>
      <c r="C127" s="523" t="s">
        <v>19</v>
      </c>
      <c r="D127" s="594" t="s">
        <v>273</v>
      </c>
      <c r="E127" s="525"/>
      <c r="F127" s="525"/>
      <c r="G127" s="525"/>
      <c r="H127" s="525"/>
      <c r="I127" s="525"/>
      <c r="J127" s="525"/>
      <c r="K127" s="525"/>
      <c r="L127" s="525"/>
      <c r="M127" s="525"/>
      <c r="N127" s="525"/>
      <c r="O127" s="525"/>
      <c r="P127" s="525"/>
      <c r="Q127" s="525"/>
      <c r="R127" s="525"/>
      <c r="S127" s="525"/>
      <c r="T127" s="525"/>
      <c r="U127" s="525"/>
      <c r="V127" s="525"/>
      <c r="W127" s="525"/>
      <c r="X127" s="525"/>
      <c r="Y127" s="525"/>
      <c r="Z127" s="525"/>
      <c r="AA127" s="525"/>
      <c r="AB127" s="525"/>
      <c r="AC127" s="525"/>
      <c r="AD127" s="525"/>
      <c r="AE127" s="525"/>
      <c r="AF127" s="525"/>
      <c r="AG127" s="525"/>
      <c r="AH127" s="525"/>
      <c r="AI127" s="525"/>
      <c r="AJ127" s="525"/>
      <c r="AK127" s="525"/>
      <c r="AL127" s="525"/>
    </row>
    <row r="128" spans="2:38" ht="15.75" hidden="1" customHeight="1" x14ac:dyDescent="0.25">
      <c r="B128" s="595" t="s">
        <v>147</v>
      </c>
      <c r="C128" s="527" t="s">
        <v>148</v>
      </c>
      <c r="D128" s="592" t="s">
        <v>2</v>
      </c>
      <c r="E128" s="525"/>
      <c r="F128" s="525"/>
      <c r="G128" s="525"/>
      <c r="H128" s="525"/>
      <c r="I128" s="525"/>
      <c r="J128" s="525"/>
      <c r="K128" s="525"/>
      <c r="L128" s="525"/>
      <c r="M128" s="525"/>
      <c r="N128" s="525"/>
      <c r="O128" s="525"/>
      <c r="P128" s="525"/>
      <c r="Q128" s="525"/>
      <c r="R128" s="525"/>
      <c r="S128" s="525"/>
      <c r="T128" s="525"/>
      <c r="U128" s="525"/>
      <c r="V128" s="525"/>
      <c r="W128" s="525"/>
      <c r="X128" s="525"/>
      <c r="Y128" s="525"/>
      <c r="Z128" s="525"/>
      <c r="AA128" s="525"/>
      <c r="AB128" s="525"/>
      <c r="AC128" s="525"/>
      <c r="AD128" s="525"/>
      <c r="AE128" s="525"/>
      <c r="AF128" s="525"/>
      <c r="AG128" s="525"/>
      <c r="AH128" s="525"/>
      <c r="AI128" s="525"/>
      <c r="AJ128" s="525"/>
      <c r="AK128" s="525"/>
      <c r="AL128" s="525"/>
    </row>
    <row r="129" spans="2:38" ht="15.75" hidden="1" customHeight="1" x14ac:dyDescent="0.25">
      <c r="B129" s="593" t="s">
        <v>149</v>
      </c>
      <c r="C129" s="523" t="s">
        <v>17</v>
      </c>
      <c r="D129" s="594" t="s">
        <v>273</v>
      </c>
      <c r="E129" s="525"/>
      <c r="F129" s="525"/>
      <c r="G129" s="525"/>
      <c r="H129" s="525"/>
      <c r="I129" s="525"/>
      <c r="J129" s="525"/>
      <c r="K129" s="525"/>
      <c r="L129" s="525"/>
      <c r="M129" s="525"/>
      <c r="N129" s="525"/>
      <c r="O129" s="525"/>
      <c r="P129" s="525"/>
      <c r="Q129" s="525"/>
      <c r="R129" s="525"/>
      <c r="S129" s="525"/>
      <c r="T129" s="525"/>
      <c r="U129" s="525"/>
      <c r="V129" s="525"/>
      <c r="W129" s="525"/>
      <c r="X129" s="525"/>
      <c r="Y129" s="525"/>
      <c r="Z129" s="525"/>
      <c r="AA129" s="525"/>
      <c r="AB129" s="525"/>
      <c r="AC129" s="525"/>
      <c r="AD129" s="525"/>
      <c r="AE129" s="525"/>
      <c r="AF129" s="525"/>
      <c r="AG129" s="525"/>
      <c r="AH129" s="525"/>
      <c r="AI129" s="525"/>
      <c r="AJ129" s="525"/>
      <c r="AK129" s="525"/>
      <c r="AL129" s="525"/>
    </row>
    <row r="130" spans="2:38" ht="15.75" hidden="1" customHeight="1" x14ac:dyDescent="0.25">
      <c r="B130" s="593" t="s">
        <v>150</v>
      </c>
      <c r="C130" s="523" t="s">
        <v>19</v>
      </c>
      <c r="D130" s="594" t="s">
        <v>273</v>
      </c>
      <c r="E130" s="525"/>
      <c r="F130" s="525"/>
      <c r="G130" s="525"/>
      <c r="H130" s="525"/>
      <c r="I130" s="525"/>
      <c r="J130" s="525"/>
      <c r="K130" s="525"/>
      <c r="L130" s="525"/>
      <c r="M130" s="525"/>
      <c r="N130" s="525"/>
      <c r="O130" s="525"/>
      <c r="P130" s="525"/>
      <c r="Q130" s="525"/>
      <c r="R130" s="525"/>
      <c r="S130" s="525"/>
      <c r="T130" s="525"/>
      <c r="U130" s="525"/>
      <c r="V130" s="525"/>
      <c r="W130" s="525"/>
      <c r="X130" s="525"/>
      <c r="Y130" s="525"/>
      <c r="Z130" s="525"/>
      <c r="AA130" s="525"/>
      <c r="AB130" s="525"/>
      <c r="AC130" s="525"/>
      <c r="AD130" s="525"/>
      <c r="AE130" s="525"/>
      <c r="AF130" s="525"/>
      <c r="AG130" s="525"/>
      <c r="AH130" s="525"/>
      <c r="AI130" s="525"/>
      <c r="AJ130" s="525"/>
      <c r="AK130" s="525"/>
      <c r="AL130" s="525"/>
    </row>
    <row r="131" spans="2:38" ht="15.75" hidden="1" customHeight="1" x14ac:dyDescent="0.25">
      <c r="B131" s="591">
        <v>42</v>
      </c>
      <c r="C131" s="527" t="s">
        <v>151</v>
      </c>
      <c r="D131" s="592" t="s">
        <v>2</v>
      </c>
      <c r="E131" s="525"/>
      <c r="F131" s="525"/>
      <c r="G131" s="525"/>
      <c r="H131" s="525"/>
      <c r="I131" s="525"/>
      <c r="J131" s="525"/>
      <c r="K131" s="525"/>
      <c r="L131" s="525"/>
      <c r="M131" s="525"/>
      <c r="N131" s="525"/>
      <c r="O131" s="525"/>
      <c r="P131" s="525"/>
      <c r="Q131" s="525"/>
      <c r="R131" s="525"/>
      <c r="S131" s="525"/>
      <c r="T131" s="525"/>
      <c r="U131" s="525"/>
      <c r="V131" s="525"/>
      <c r="W131" s="525"/>
      <c r="X131" s="525"/>
      <c r="Y131" s="525"/>
      <c r="Z131" s="525"/>
      <c r="AA131" s="525"/>
      <c r="AB131" s="525"/>
      <c r="AC131" s="525"/>
      <c r="AD131" s="525"/>
      <c r="AE131" s="525"/>
      <c r="AF131" s="525"/>
      <c r="AG131" s="525"/>
      <c r="AH131" s="525"/>
      <c r="AI131" s="525"/>
      <c r="AJ131" s="525"/>
      <c r="AK131" s="525"/>
      <c r="AL131" s="525"/>
    </row>
    <row r="132" spans="2:38" ht="15.75" hidden="1" customHeight="1" x14ac:dyDescent="0.25">
      <c r="B132" s="593" t="s">
        <v>152</v>
      </c>
      <c r="C132" s="523" t="s">
        <v>17</v>
      </c>
      <c r="D132" s="594" t="s">
        <v>273</v>
      </c>
      <c r="E132" s="525"/>
      <c r="F132" s="525"/>
      <c r="G132" s="525"/>
      <c r="H132" s="525"/>
      <c r="I132" s="525"/>
      <c r="J132" s="525"/>
      <c r="K132" s="525"/>
      <c r="L132" s="525"/>
      <c r="M132" s="525"/>
      <c r="N132" s="525"/>
      <c r="O132" s="525"/>
      <c r="P132" s="525"/>
      <c r="Q132" s="525"/>
      <c r="R132" s="525"/>
      <c r="S132" s="525"/>
      <c r="T132" s="525"/>
      <c r="U132" s="525"/>
      <c r="V132" s="525"/>
      <c r="W132" s="525"/>
      <c r="X132" s="525"/>
      <c r="Y132" s="525"/>
      <c r="Z132" s="525"/>
      <c r="AA132" s="525"/>
      <c r="AB132" s="525"/>
      <c r="AC132" s="525"/>
      <c r="AD132" s="525"/>
      <c r="AE132" s="525"/>
      <c r="AF132" s="525"/>
      <c r="AG132" s="525"/>
      <c r="AH132" s="525"/>
      <c r="AI132" s="525"/>
      <c r="AJ132" s="525"/>
      <c r="AK132" s="525"/>
      <c r="AL132" s="525"/>
    </row>
    <row r="133" spans="2:38" ht="15.75" hidden="1" customHeight="1" x14ac:dyDescent="0.25">
      <c r="B133" s="593" t="s">
        <v>153</v>
      </c>
      <c r="C133" s="523" t="s">
        <v>19</v>
      </c>
      <c r="D133" s="594" t="s">
        <v>273</v>
      </c>
      <c r="E133" s="525"/>
      <c r="F133" s="525"/>
      <c r="G133" s="525"/>
      <c r="H133" s="525"/>
      <c r="I133" s="525"/>
      <c r="J133" s="525"/>
      <c r="K133" s="525"/>
      <c r="L133" s="525"/>
      <c r="M133" s="525"/>
      <c r="N133" s="525"/>
      <c r="O133" s="525"/>
      <c r="P133" s="525"/>
      <c r="Q133" s="525"/>
      <c r="R133" s="525"/>
      <c r="S133" s="525"/>
      <c r="T133" s="525"/>
      <c r="U133" s="525"/>
      <c r="V133" s="525"/>
      <c r="W133" s="525"/>
      <c r="X133" s="525"/>
      <c r="Y133" s="525"/>
      <c r="Z133" s="525"/>
      <c r="AA133" s="525"/>
      <c r="AB133" s="525"/>
      <c r="AC133" s="525"/>
      <c r="AD133" s="525"/>
      <c r="AE133" s="525"/>
      <c r="AF133" s="525"/>
      <c r="AG133" s="525"/>
      <c r="AH133" s="525"/>
      <c r="AI133" s="525"/>
      <c r="AJ133" s="525"/>
      <c r="AK133" s="525"/>
      <c r="AL133" s="525"/>
    </row>
    <row r="134" spans="2:38" ht="15.75" hidden="1" customHeight="1" x14ac:dyDescent="0.25">
      <c r="B134" s="595" t="s">
        <v>154</v>
      </c>
      <c r="C134" s="527" t="s">
        <v>155</v>
      </c>
      <c r="D134" s="592" t="s">
        <v>2</v>
      </c>
      <c r="E134" s="525"/>
      <c r="F134" s="525"/>
      <c r="G134" s="525"/>
      <c r="H134" s="525"/>
      <c r="I134" s="525"/>
      <c r="J134" s="525"/>
      <c r="K134" s="525"/>
      <c r="L134" s="525"/>
      <c r="M134" s="525"/>
      <c r="N134" s="525"/>
      <c r="O134" s="525"/>
      <c r="P134" s="525"/>
      <c r="Q134" s="525"/>
      <c r="R134" s="525"/>
      <c r="S134" s="525"/>
      <c r="T134" s="525"/>
      <c r="U134" s="525"/>
      <c r="V134" s="525"/>
      <c r="W134" s="525"/>
      <c r="X134" s="525"/>
      <c r="Y134" s="525"/>
      <c r="Z134" s="525"/>
      <c r="AA134" s="525"/>
      <c r="AB134" s="525"/>
      <c r="AC134" s="525"/>
      <c r="AD134" s="525"/>
      <c r="AE134" s="525"/>
      <c r="AF134" s="525"/>
      <c r="AG134" s="525"/>
      <c r="AH134" s="525"/>
      <c r="AI134" s="525"/>
      <c r="AJ134" s="525"/>
      <c r="AK134" s="525"/>
      <c r="AL134" s="525"/>
    </row>
    <row r="135" spans="2:38" ht="15.75" hidden="1" customHeight="1" x14ac:dyDescent="0.25">
      <c r="B135" s="593" t="s">
        <v>156</v>
      </c>
      <c r="C135" s="523" t="s">
        <v>17</v>
      </c>
      <c r="D135" s="594" t="s">
        <v>273</v>
      </c>
      <c r="E135" s="525"/>
      <c r="F135" s="525"/>
      <c r="G135" s="525"/>
      <c r="H135" s="525"/>
      <c r="I135" s="525"/>
      <c r="J135" s="525"/>
      <c r="K135" s="525"/>
      <c r="L135" s="525"/>
      <c r="M135" s="525"/>
      <c r="N135" s="525"/>
      <c r="O135" s="525"/>
      <c r="P135" s="525"/>
      <c r="Q135" s="525"/>
      <c r="R135" s="525"/>
      <c r="S135" s="525"/>
      <c r="T135" s="525"/>
      <c r="U135" s="525"/>
      <c r="V135" s="525"/>
      <c r="W135" s="525"/>
      <c r="X135" s="525"/>
      <c r="Y135" s="525"/>
      <c r="Z135" s="525"/>
      <c r="AA135" s="525"/>
      <c r="AB135" s="525"/>
      <c r="AC135" s="525"/>
      <c r="AD135" s="525"/>
      <c r="AE135" s="525"/>
      <c r="AF135" s="525"/>
      <c r="AG135" s="525"/>
      <c r="AH135" s="525"/>
      <c r="AI135" s="525"/>
      <c r="AJ135" s="525"/>
      <c r="AK135" s="525"/>
      <c r="AL135" s="525"/>
    </row>
    <row r="136" spans="2:38" ht="15.75" hidden="1" customHeight="1" x14ac:dyDescent="0.25">
      <c r="B136" s="593" t="s">
        <v>157</v>
      </c>
      <c r="C136" s="523" t="s">
        <v>19</v>
      </c>
      <c r="D136" s="594" t="s">
        <v>273</v>
      </c>
      <c r="E136" s="525"/>
      <c r="F136" s="525"/>
      <c r="G136" s="525"/>
      <c r="H136" s="525"/>
      <c r="I136" s="525"/>
      <c r="J136" s="525"/>
      <c r="K136" s="525"/>
      <c r="L136" s="525"/>
      <c r="M136" s="525"/>
      <c r="N136" s="525"/>
      <c r="O136" s="525"/>
      <c r="P136" s="525"/>
      <c r="Q136" s="525"/>
      <c r="R136" s="525"/>
      <c r="S136" s="525"/>
      <c r="T136" s="525"/>
      <c r="U136" s="525"/>
      <c r="V136" s="525"/>
      <c r="W136" s="525"/>
      <c r="X136" s="525"/>
      <c r="Y136" s="525"/>
      <c r="Z136" s="525"/>
      <c r="AA136" s="525"/>
      <c r="AB136" s="525"/>
      <c r="AC136" s="525"/>
      <c r="AD136" s="525"/>
      <c r="AE136" s="525"/>
      <c r="AF136" s="525"/>
      <c r="AG136" s="525"/>
      <c r="AH136" s="525"/>
      <c r="AI136" s="525"/>
      <c r="AJ136" s="525"/>
      <c r="AK136" s="525"/>
      <c r="AL136" s="525"/>
    </row>
    <row r="137" spans="2:38" ht="15.75" hidden="1" customHeight="1" x14ac:dyDescent="0.25">
      <c r="B137" s="591">
        <v>44</v>
      </c>
      <c r="C137" s="527" t="s">
        <v>158</v>
      </c>
      <c r="D137" s="592" t="s">
        <v>2</v>
      </c>
      <c r="E137" s="525"/>
      <c r="F137" s="525"/>
      <c r="G137" s="525"/>
      <c r="H137" s="525"/>
      <c r="I137" s="525"/>
      <c r="J137" s="525"/>
      <c r="K137" s="525"/>
      <c r="L137" s="525"/>
      <c r="M137" s="525"/>
      <c r="N137" s="525"/>
      <c r="O137" s="525"/>
      <c r="P137" s="525"/>
      <c r="Q137" s="525"/>
      <c r="R137" s="525"/>
      <c r="S137" s="525"/>
      <c r="T137" s="525"/>
      <c r="U137" s="525"/>
      <c r="V137" s="525"/>
      <c r="W137" s="525"/>
      <c r="X137" s="525"/>
      <c r="Y137" s="525"/>
      <c r="Z137" s="525"/>
      <c r="AA137" s="525"/>
      <c r="AB137" s="525"/>
      <c r="AC137" s="525"/>
      <c r="AD137" s="525"/>
      <c r="AE137" s="525"/>
      <c r="AF137" s="525"/>
      <c r="AG137" s="525"/>
      <c r="AH137" s="525"/>
      <c r="AI137" s="525"/>
      <c r="AJ137" s="525"/>
      <c r="AK137" s="525"/>
      <c r="AL137" s="525"/>
    </row>
    <row r="138" spans="2:38" ht="15.75" hidden="1" customHeight="1" x14ac:dyDescent="0.25">
      <c r="B138" s="593" t="s">
        <v>159</v>
      </c>
      <c r="C138" s="523" t="s">
        <v>17</v>
      </c>
      <c r="D138" s="594" t="s">
        <v>273</v>
      </c>
      <c r="E138" s="525"/>
      <c r="F138" s="525"/>
      <c r="G138" s="525"/>
      <c r="H138" s="525"/>
      <c r="I138" s="525"/>
      <c r="J138" s="525"/>
      <c r="K138" s="525"/>
      <c r="L138" s="525"/>
      <c r="M138" s="525"/>
      <c r="N138" s="525"/>
      <c r="O138" s="525"/>
      <c r="P138" s="525"/>
      <c r="Q138" s="525"/>
      <c r="R138" s="525"/>
      <c r="S138" s="525"/>
      <c r="T138" s="525"/>
      <c r="U138" s="525"/>
      <c r="V138" s="525"/>
      <c r="W138" s="525"/>
      <c r="X138" s="525"/>
      <c r="Y138" s="525"/>
      <c r="Z138" s="525"/>
      <c r="AA138" s="525"/>
      <c r="AB138" s="525"/>
      <c r="AC138" s="525"/>
      <c r="AD138" s="525"/>
      <c r="AE138" s="525"/>
      <c r="AF138" s="525"/>
      <c r="AG138" s="525"/>
      <c r="AH138" s="525"/>
      <c r="AI138" s="525"/>
      <c r="AJ138" s="525"/>
      <c r="AK138" s="525"/>
      <c r="AL138" s="525"/>
    </row>
    <row r="139" spans="2:38" ht="15.75" hidden="1" customHeight="1" x14ac:dyDescent="0.25">
      <c r="B139" s="593" t="s">
        <v>160</v>
      </c>
      <c r="C139" s="523" t="s">
        <v>19</v>
      </c>
      <c r="D139" s="594" t="s">
        <v>273</v>
      </c>
      <c r="E139" s="525"/>
      <c r="F139" s="525"/>
      <c r="G139" s="525"/>
      <c r="H139" s="525"/>
      <c r="I139" s="525"/>
      <c r="J139" s="525"/>
      <c r="K139" s="525"/>
      <c r="L139" s="525"/>
      <c r="M139" s="525"/>
      <c r="N139" s="525"/>
      <c r="O139" s="525"/>
      <c r="P139" s="525"/>
      <c r="Q139" s="525"/>
      <c r="R139" s="525"/>
      <c r="S139" s="525"/>
      <c r="T139" s="525"/>
      <c r="U139" s="525"/>
      <c r="V139" s="525"/>
      <c r="W139" s="525"/>
      <c r="X139" s="525"/>
      <c r="Y139" s="525"/>
      <c r="Z139" s="525"/>
      <c r="AA139" s="525"/>
      <c r="AB139" s="525"/>
      <c r="AC139" s="525"/>
      <c r="AD139" s="525"/>
      <c r="AE139" s="525"/>
      <c r="AF139" s="525"/>
      <c r="AG139" s="525"/>
      <c r="AH139" s="525"/>
      <c r="AI139" s="525"/>
      <c r="AJ139" s="525"/>
      <c r="AK139" s="525"/>
      <c r="AL139" s="525"/>
    </row>
    <row r="140" spans="2:38" ht="15.75" hidden="1" customHeight="1" x14ac:dyDescent="0.25">
      <c r="B140" s="591">
        <v>45</v>
      </c>
      <c r="C140" s="527" t="s">
        <v>161</v>
      </c>
      <c r="D140" s="592" t="s">
        <v>2</v>
      </c>
      <c r="E140" s="525"/>
      <c r="F140" s="525"/>
      <c r="G140" s="525"/>
      <c r="H140" s="525"/>
      <c r="I140" s="525"/>
      <c r="J140" s="525"/>
      <c r="K140" s="525"/>
      <c r="L140" s="525"/>
      <c r="M140" s="525"/>
      <c r="N140" s="525"/>
      <c r="O140" s="525"/>
      <c r="P140" s="525"/>
      <c r="Q140" s="525"/>
      <c r="R140" s="525"/>
      <c r="S140" s="525"/>
      <c r="T140" s="525"/>
      <c r="U140" s="525"/>
      <c r="V140" s="525"/>
      <c r="W140" s="525"/>
      <c r="X140" s="525"/>
      <c r="Y140" s="525"/>
      <c r="Z140" s="525"/>
      <c r="AA140" s="525"/>
      <c r="AB140" s="525"/>
      <c r="AC140" s="525"/>
      <c r="AD140" s="525"/>
      <c r="AE140" s="525"/>
      <c r="AF140" s="525"/>
      <c r="AG140" s="525"/>
      <c r="AH140" s="525"/>
      <c r="AI140" s="525"/>
      <c r="AJ140" s="525"/>
      <c r="AK140" s="525"/>
      <c r="AL140" s="525"/>
    </row>
    <row r="141" spans="2:38" ht="15.75" hidden="1" customHeight="1" x14ac:dyDescent="0.25">
      <c r="B141" s="593" t="s">
        <v>162</v>
      </c>
      <c r="C141" s="523" t="s">
        <v>17</v>
      </c>
      <c r="D141" s="594" t="s">
        <v>273</v>
      </c>
      <c r="E141" s="525"/>
      <c r="F141" s="525"/>
      <c r="G141" s="525"/>
      <c r="H141" s="525"/>
      <c r="I141" s="525"/>
      <c r="J141" s="525"/>
      <c r="K141" s="525"/>
      <c r="L141" s="525"/>
      <c r="M141" s="525"/>
      <c r="N141" s="525"/>
      <c r="O141" s="525"/>
      <c r="P141" s="525"/>
      <c r="Q141" s="525"/>
      <c r="R141" s="525"/>
      <c r="S141" s="525"/>
      <c r="T141" s="525"/>
      <c r="U141" s="525"/>
      <c r="V141" s="525"/>
      <c r="W141" s="525"/>
      <c r="X141" s="525"/>
      <c r="Y141" s="525"/>
      <c r="Z141" s="525"/>
      <c r="AA141" s="525"/>
      <c r="AB141" s="525"/>
      <c r="AC141" s="525"/>
      <c r="AD141" s="525"/>
      <c r="AE141" s="525"/>
      <c r="AF141" s="525"/>
      <c r="AG141" s="525"/>
      <c r="AH141" s="525"/>
      <c r="AI141" s="525"/>
      <c r="AJ141" s="525"/>
      <c r="AK141" s="525"/>
      <c r="AL141" s="525"/>
    </row>
    <row r="142" spans="2:38" ht="15.75" hidden="1" customHeight="1" x14ac:dyDescent="0.25">
      <c r="B142" s="593" t="s">
        <v>163</v>
      </c>
      <c r="C142" s="523" t="s">
        <v>19</v>
      </c>
      <c r="D142" s="594" t="s">
        <v>273</v>
      </c>
      <c r="E142" s="525"/>
      <c r="F142" s="525"/>
      <c r="G142" s="525"/>
      <c r="H142" s="525"/>
      <c r="I142" s="525"/>
      <c r="J142" s="525"/>
      <c r="K142" s="525"/>
      <c r="L142" s="525"/>
      <c r="M142" s="525"/>
      <c r="N142" s="525"/>
      <c r="O142" s="525"/>
      <c r="P142" s="525"/>
      <c r="Q142" s="525"/>
      <c r="R142" s="525"/>
      <c r="S142" s="525"/>
      <c r="T142" s="525"/>
      <c r="U142" s="525"/>
      <c r="V142" s="525"/>
      <c r="W142" s="525"/>
      <c r="X142" s="525"/>
      <c r="Y142" s="525"/>
      <c r="Z142" s="525"/>
      <c r="AA142" s="525"/>
      <c r="AB142" s="525"/>
      <c r="AC142" s="525"/>
      <c r="AD142" s="525"/>
      <c r="AE142" s="525"/>
      <c r="AF142" s="525"/>
      <c r="AG142" s="525"/>
      <c r="AH142" s="525"/>
      <c r="AI142" s="525"/>
      <c r="AJ142" s="525"/>
      <c r="AK142" s="525"/>
      <c r="AL142" s="525"/>
    </row>
    <row r="143" spans="2:38" ht="15.75" hidden="1" customHeight="1" x14ac:dyDescent="0.25">
      <c r="B143" s="595" t="s">
        <v>164</v>
      </c>
      <c r="C143" s="527" t="s">
        <v>165</v>
      </c>
      <c r="D143" s="592" t="s">
        <v>2</v>
      </c>
      <c r="E143" s="525"/>
      <c r="F143" s="525"/>
      <c r="G143" s="525"/>
      <c r="H143" s="525"/>
      <c r="I143" s="525"/>
      <c r="J143" s="525"/>
      <c r="K143" s="525"/>
      <c r="L143" s="525"/>
      <c r="M143" s="525"/>
      <c r="N143" s="525"/>
      <c r="O143" s="525"/>
      <c r="P143" s="525"/>
      <c r="Q143" s="525"/>
      <c r="R143" s="525"/>
      <c r="S143" s="525"/>
      <c r="T143" s="525"/>
      <c r="U143" s="525"/>
      <c r="V143" s="525"/>
      <c r="W143" s="525"/>
      <c r="X143" s="525"/>
      <c r="Y143" s="525"/>
      <c r="Z143" s="525"/>
      <c r="AA143" s="525"/>
      <c r="AB143" s="525"/>
      <c r="AC143" s="525"/>
      <c r="AD143" s="525"/>
      <c r="AE143" s="525"/>
      <c r="AF143" s="525"/>
      <c r="AG143" s="525"/>
      <c r="AH143" s="525"/>
      <c r="AI143" s="525"/>
      <c r="AJ143" s="525"/>
      <c r="AK143" s="525"/>
      <c r="AL143" s="525"/>
    </row>
    <row r="144" spans="2:38" ht="15.75" hidden="1" customHeight="1" x14ac:dyDescent="0.25">
      <c r="B144" s="593" t="s">
        <v>166</v>
      </c>
      <c r="C144" s="523" t="s">
        <v>17</v>
      </c>
      <c r="D144" s="594" t="s">
        <v>273</v>
      </c>
      <c r="E144" s="525"/>
      <c r="F144" s="525"/>
      <c r="G144" s="525"/>
      <c r="H144" s="525"/>
      <c r="I144" s="525"/>
      <c r="J144" s="525"/>
      <c r="K144" s="525"/>
      <c r="L144" s="525"/>
      <c r="M144" s="525"/>
      <c r="N144" s="525"/>
      <c r="O144" s="525"/>
      <c r="P144" s="525"/>
      <c r="Q144" s="525"/>
      <c r="R144" s="525"/>
      <c r="S144" s="525"/>
      <c r="T144" s="525"/>
      <c r="U144" s="525"/>
      <c r="V144" s="525"/>
      <c r="W144" s="525"/>
      <c r="X144" s="525"/>
      <c r="Y144" s="525"/>
      <c r="Z144" s="525"/>
      <c r="AA144" s="525"/>
      <c r="AB144" s="525"/>
      <c r="AC144" s="525"/>
      <c r="AD144" s="525"/>
      <c r="AE144" s="525"/>
      <c r="AF144" s="525"/>
      <c r="AG144" s="525"/>
      <c r="AH144" s="525"/>
      <c r="AI144" s="525"/>
      <c r="AJ144" s="525"/>
      <c r="AK144" s="525"/>
      <c r="AL144" s="525"/>
    </row>
    <row r="145" spans="2:38" ht="15.75" hidden="1" customHeight="1" x14ac:dyDescent="0.25">
      <c r="B145" s="593" t="s">
        <v>167</v>
      </c>
      <c r="C145" s="523" t="s">
        <v>19</v>
      </c>
      <c r="D145" s="594" t="s">
        <v>273</v>
      </c>
      <c r="E145" s="525"/>
      <c r="F145" s="525"/>
      <c r="G145" s="525"/>
      <c r="H145" s="525"/>
      <c r="I145" s="525"/>
      <c r="J145" s="525"/>
      <c r="K145" s="525"/>
      <c r="L145" s="525"/>
      <c r="M145" s="525"/>
      <c r="N145" s="525"/>
      <c r="O145" s="525"/>
      <c r="P145" s="525"/>
      <c r="Q145" s="525"/>
      <c r="R145" s="525"/>
      <c r="S145" s="525"/>
      <c r="T145" s="525"/>
      <c r="U145" s="525"/>
      <c r="V145" s="525"/>
      <c r="W145" s="525"/>
      <c r="X145" s="525"/>
      <c r="Y145" s="525"/>
      <c r="Z145" s="525"/>
      <c r="AA145" s="525"/>
      <c r="AB145" s="525"/>
      <c r="AC145" s="525"/>
      <c r="AD145" s="525"/>
      <c r="AE145" s="525"/>
      <c r="AF145" s="525"/>
      <c r="AG145" s="525"/>
      <c r="AH145" s="525"/>
      <c r="AI145" s="525"/>
      <c r="AJ145" s="525"/>
      <c r="AK145" s="525"/>
      <c r="AL145" s="525"/>
    </row>
    <row r="146" spans="2:38" ht="15.75" hidden="1" customHeight="1" x14ac:dyDescent="0.25">
      <c r="B146" s="591">
        <v>47</v>
      </c>
      <c r="C146" s="527" t="s">
        <v>168</v>
      </c>
      <c r="D146" s="592" t="s">
        <v>2</v>
      </c>
      <c r="E146" s="525"/>
      <c r="F146" s="525"/>
      <c r="G146" s="525"/>
      <c r="H146" s="525"/>
      <c r="I146" s="525"/>
      <c r="J146" s="525"/>
      <c r="K146" s="525"/>
      <c r="L146" s="525"/>
      <c r="M146" s="525"/>
      <c r="N146" s="525"/>
      <c r="O146" s="525"/>
      <c r="P146" s="525"/>
      <c r="Q146" s="525"/>
      <c r="R146" s="525"/>
      <c r="S146" s="525"/>
      <c r="T146" s="525"/>
      <c r="U146" s="525"/>
      <c r="V146" s="525"/>
      <c r="W146" s="525"/>
      <c r="X146" s="525"/>
      <c r="Y146" s="525"/>
      <c r="Z146" s="525"/>
      <c r="AA146" s="525"/>
      <c r="AB146" s="525"/>
      <c r="AC146" s="525"/>
      <c r="AD146" s="525"/>
      <c r="AE146" s="525"/>
      <c r="AF146" s="525"/>
      <c r="AG146" s="525"/>
      <c r="AH146" s="525"/>
      <c r="AI146" s="525"/>
      <c r="AJ146" s="525"/>
      <c r="AK146" s="525"/>
      <c r="AL146" s="525"/>
    </row>
    <row r="147" spans="2:38" ht="15.75" hidden="1" customHeight="1" x14ac:dyDescent="0.25">
      <c r="B147" s="593" t="s">
        <v>169</v>
      </c>
      <c r="C147" s="523" t="s">
        <v>17</v>
      </c>
      <c r="D147" s="594" t="s">
        <v>273</v>
      </c>
      <c r="E147" s="525"/>
      <c r="F147" s="525"/>
      <c r="G147" s="525"/>
      <c r="H147" s="525"/>
      <c r="I147" s="525"/>
      <c r="J147" s="525"/>
      <c r="K147" s="525"/>
      <c r="L147" s="525"/>
      <c r="M147" s="525"/>
      <c r="N147" s="525"/>
      <c r="O147" s="525"/>
      <c r="P147" s="525"/>
      <c r="Q147" s="525"/>
      <c r="R147" s="525"/>
      <c r="S147" s="525"/>
      <c r="T147" s="525"/>
      <c r="U147" s="525"/>
      <c r="V147" s="525"/>
      <c r="W147" s="525"/>
      <c r="X147" s="525"/>
      <c r="Y147" s="525"/>
      <c r="Z147" s="525"/>
      <c r="AA147" s="525"/>
      <c r="AB147" s="525"/>
      <c r="AC147" s="525"/>
      <c r="AD147" s="525"/>
      <c r="AE147" s="525"/>
      <c r="AF147" s="525"/>
      <c r="AG147" s="525"/>
      <c r="AH147" s="525"/>
      <c r="AI147" s="525"/>
      <c r="AJ147" s="525"/>
      <c r="AK147" s="525"/>
      <c r="AL147" s="525"/>
    </row>
    <row r="148" spans="2:38" ht="15.75" hidden="1" customHeight="1" x14ac:dyDescent="0.25">
      <c r="B148" s="593" t="s">
        <v>170</v>
      </c>
      <c r="C148" s="523" t="s">
        <v>19</v>
      </c>
      <c r="D148" s="594" t="s">
        <v>273</v>
      </c>
      <c r="E148" s="525"/>
      <c r="F148" s="525"/>
      <c r="G148" s="525"/>
      <c r="H148" s="525"/>
      <c r="I148" s="525"/>
      <c r="J148" s="525"/>
      <c r="K148" s="525"/>
      <c r="L148" s="525"/>
      <c r="M148" s="525"/>
      <c r="N148" s="525"/>
      <c r="O148" s="525"/>
      <c r="P148" s="525"/>
      <c r="Q148" s="525"/>
      <c r="R148" s="525"/>
      <c r="S148" s="525"/>
      <c r="T148" s="525"/>
      <c r="U148" s="525"/>
      <c r="V148" s="525"/>
      <c r="W148" s="525"/>
      <c r="X148" s="525"/>
      <c r="Y148" s="525"/>
      <c r="Z148" s="525"/>
      <c r="AA148" s="525"/>
      <c r="AB148" s="525"/>
      <c r="AC148" s="525"/>
      <c r="AD148" s="525"/>
      <c r="AE148" s="525"/>
      <c r="AF148" s="525"/>
      <c r="AG148" s="525"/>
      <c r="AH148" s="525"/>
      <c r="AI148" s="525"/>
      <c r="AJ148" s="525"/>
      <c r="AK148" s="525"/>
      <c r="AL148" s="525"/>
    </row>
    <row r="149" spans="2:38" ht="15.75" hidden="1" customHeight="1" x14ac:dyDescent="0.25">
      <c r="B149" s="591">
        <v>48</v>
      </c>
      <c r="C149" s="527" t="s">
        <v>171</v>
      </c>
      <c r="D149" s="592" t="s">
        <v>2</v>
      </c>
      <c r="E149" s="525"/>
      <c r="F149" s="525"/>
      <c r="G149" s="525"/>
      <c r="H149" s="525"/>
      <c r="I149" s="525"/>
      <c r="J149" s="525"/>
      <c r="K149" s="525"/>
      <c r="L149" s="525"/>
      <c r="M149" s="525"/>
      <c r="N149" s="525"/>
      <c r="O149" s="525"/>
      <c r="P149" s="525"/>
      <c r="Q149" s="525"/>
      <c r="R149" s="525"/>
      <c r="S149" s="525"/>
      <c r="T149" s="525"/>
      <c r="U149" s="525"/>
      <c r="V149" s="525"/>
      <c r="W149" s="525"/>
      <c r="X149" s="525"/>
      <c r="Y149" s="525"/>
      <c r="Z149" s="525"/>
      <c r="AA149" s="525"/>
      <c r="AB149" s="525"/>
      <c r="AC149" s="525"/>
      <c r="AD149" s="525"/>
      <c r="AE149" s="525"/>
      <c r="AF149" s="525"/>
      <c r="AG149" s="525"/>
      <c r="AH149" s="525"/>
      <c r="AI149" s="525"/>
      <c r="AJ149" s="525"/>
      <c r="AK149" s="525"/>
      <c r="AL149" s="525"/>
    </row>
    <row r="150" spans="2:38" ht="15.75" hidden="1" customHeight="1" x14ac:dyDescent="0.25">
      <c r="B150" s="593" t="s">
        <v>172</v>
      </c>
      <c r="C150" s="523" t="s">
        <v>17</v>
      </c>
      <c r="D150" s="594" t="s">
        <v>273</v>
      </c>
      <c r="E150" s="525"/>
      <c r="F150" s="525"/>
      <c r="G150" s="525"/>
      <c r="H150" s="525"/>
      <c r="I150" s="525"/>
      <c r="J150" s="525"/>
      <c r="K150" s="525"/>
      <c r="L150" s="525"/>
      <c r="M150" s="525"/>
      <c r="N150" s="525"/>
      <c r="O150" s="525"/>
      <c r="P150" s="525"/>
      <c r="Q150" s="525"/>
      <c r="R150" s="525"/>
      <c r="S150" s="525"/>
      <c r="T150" s="525"/>
      <c r="U150" s="525"/>
      <c r="V150" s="525"/>
      <c r="W150" s="525"/>
      <c r="X150" s="525"/>
      <c r="Y150" s="525"/>
      <c r="Z150" s="525"/>
      <c r="AA150" s="525"/>
      <c r="AB150" s="525"/>
      <c r="AC150" s="525"/>
      <c r="AD150" s="525"/>
      <c r="AE150" s="525"/>
      <c r="AF150" s="525"/>
      <c r="AG150" s="525"/>
      <c r="AH150" s="525"/>
      <c r="AI150" s="525"/>
      <c r="AJ150" s="525"/>
      <c r="AK150" s="525"/>
      <c r="AL150" s="525"/>
    </row>
    <row r="151" spans="2:38" ht="15.75" hidden="1" customHeight="1" x14ac:dyDescent="0.25">
      <c r="B151" s="593" t="s">
        <v>173</v>
      </c>
      <c r="C151" s="523" t="s">
        <v>19</v>
      </c>
      <c r="D151" s="594" t="s">
        <v>273</v>
      </c>
      <c r="E151" s="525"/>
      <c r="F151" s="525"/>
      <c r="G151" s="525"/>
      <c r="H151" s="525"/>
      <c r="I151" s="525"/>
      <c r="J151" s="525"/>
      <c r="K151" s="525"/>
      <c r="L151" s="525"/>
      <c r="M151" s="525"/>
      <c r="N151" s="525"/>
      <c r="O151" s="525"/>
      <c r="P151" s="525"/>
      <c r="Q151" s="525"/>
      <c r="R151" s="525"/>
      <c r="S151" s="525"/>
      <c r="T151" s="525"/>
      <c r="U151" s="525"/>
      <c r="V151" s="525"/>
      <c r="W151" s="525"/>
      <c r="X151" s="525"/>
      <c r="Y151" s="525"/>
      <c r="Z151" s="525"/>
      <c r="AA151" s="525"/>
      <c r="AB151" s="525"/>
      <c r="AC151" s="525"/>
      <c r="AD151" s="525"/>
      <c r="AE151" s="525"/>
      <c r="AF151" s="525"/>
      <c r="AG151" s="525"/>
      <c r="AH151" s="525"/>
      <c r="AI151" s="525"/>
      <c r="AJ151" s="525"/>
      <c r="AK151" s="525"/>
      <c r="AL151" s="525"/>
    </row>
    <row r="152" spans="2:38" ht="15.75" hidden="1" customHeight="1" x14ac:dyDescent="0.25">
      <c r="B152" s="595" t="s">
        <v>174</v>
      </c>
      <c r="C152" s="527" t="s">
        <v>175</v>
      </c>
      <c r="D152" s="592" t="s">
        <v>2</v>
      </c>
      <c r="E152" s="525"/>
      <c r="F152" s="525"/>
      <c r="G152" s="525"/>
      <c r="H152" s="525"/>
      <c r="I152" s="525"/>
      <c r="J152" s="525"/>
      <c r="K152" s="525"/>
      <c r="L152" s="525"/>
      <c r="M152" s="525"/>
      <c r="N152" s="525"/>
      <c r="O152" s="525"/>
      <c r="P152" s="525"/>
      <c r="Q152" s="525"/>
      <c r="R152" s="525"/>
      <c r="S152" s="525"/>
      <c r="T152" s="525"/>
      <c r="U152" s="525"/>
      <c r="V152" s="525"/>
      <c r="W152" s="525"/>
      <c r="X152" s="525"/>
      <c r="Y152" s="525"/>
      <c r="Z152" s="525"/>
      <c r="AA152" s="525"/>
      <c r="AB152" s="525"/>
      <c r="AC152" s="525"/>
      <c r="AD152" s="525"/>
      <c r="AE152" s="525"/>
      <c r="AF152" s="525"/>
      <c r="AG152" s="525"/>
      <c r="AH152" s="525"/>
      <c r="AI152" s="525"/>
      <c r="AJ152" s="525"/>
      <c r="AK152" s="525"/>
      <c r="AL152" s="525"/>
    </row>
    <row r="153" spans="2:38" ht="15.75" hidden="1" customHeight="1" x14ac:dyDescent="0.25">
      <c r="B153" s="593" t="s">
        <v>176</v>
      </c>
      <c r="C153" s="523" t="s">
        <v>17</v>
      </c>
      <c r="D153" s="594" t="s">
        <v>273</v>
      </c>
      <c r="E153" s="525"/>
      <c r="F153" s="525"/>
      <c r="G153" s="525"/>
      <c r="H153" s="525"/>
      <c r="I153" s="525"/>
      <c r="J153" s="525"/>
      <c r="K153" s="525"/>
      <c r="L153" s="525"/>
      <c r="M153" s="525"/>
      <c r="N153" s="525"/>
      <c r="O153" s="525"/>
      <c r="P153" s="525"/>
      <c r="Q153" s="525"/>
      <c r="R153" s="525"/>
      <c r="S153" s="525"/>
      <c r="T153" s="525"/>
      <c r="U153" s="525"/>
      <c r="V153" s="525"/>
      <c r="W153" s="525"/>
      <c r="X153" s="525"/>
      <c r="Y153" s="525"/>
      <c r="Z153" s="525"/>
      <c r="AA153" s="525"/>
      <c r="AB153" s="525"/>
      <c r="AC153" s="525"/>
      <c r="AD153" s="525"/>
      <c r="AE153" s="525"/>
      <c r="AF153" s="525"/>
      <c r="AG153" s="525"/>
      <c r="AH153" s="525"/>
      <c r="AI153" s="525"/>
      <c r="AJ153" s="525"/>
      <c r="AK153" s="525"/>
      <c r="AL153" s="525"/>
    </row>
    <row r="154" spans="2:38" ht="15.75" hidden="1" customHeight="1" x14ac:dyDescent="0.25">
      <c r="B154" s="593" t="s">
        <v>177</v>
      </c>
      <c r="C154" s="523" t="s">
        <v>19</v>
      </c>
      <c r="D154" s="594" t="s">
        <v>273</v>
      </c>
      <c r="E154" s="525"/>
      <c r="F154" s="525"/>
      <c r="G154" s="525"/>
      <c r="H154" s="525"/>
      <c r="I154" s="525"/>
      <c r="J154" s="525"/>
      <c r="K154" s="525"/>
      <c r="L154" s="525"/>
      <c r="M154" s="525"/>
      <c r="N154" s="525"/>
      <c r="O154" s="525"/>
      <c r="P154" s="525"/>
      <c r="Q154" s="525"/>
      <c r="R154" s="525"/>
      <c r="S154" s="525"/>
      <c r="T154" s="525"/>
      <c r="U154" s="525"/>
      <c r="V154" s="525"/>
      <c r="W154" s="525"/>
      <c r="X154" s="525"/>
      <c r="Y154" s="525"/>
      <c r="Z154" s="525"/>
      <c r="AA154" s="525"/>
      <c r="AB154" s="525"/>
      <c r="AC154" s="525"/>
      <c r="AD154" s="525"/>
      <c r="AE154" s="525"/>
      <c r="AF154" s="525"/>
      <c r="AG154" s="525"/>
      <c r="AH154" s="525"/>
      <c r="AI154" s="525"/>
      <c r="AJ154" s="525"/>
      <c r="AK154" s="525"/>
      <c r="AL154" s="525"/>
    </row>
    <row r="155" spans="2:38" ht="15.75" hidden="1" customHeight="1" x14ac:dyDescent="0.25">
      <c r="B155" s="591">
        <v>50</v>
      </c>
      <c r="C155" s="527" t="s">
        <v>178</v>
      </c>
      <c r="D155" s="592" t="s">
        <v>2</v>
      </c>
      <c r="E155" s="525"/>
      <c r="F155" s="525"/>
      <c r="G155" s="525"/>
      <c r="H155" s="525"/>
      <c r="I155" s="525"/>
      <c r="J155" s="525"/>
      <c r="K155" s="525"/>
      <c r="L155" s="525"/>
      <c r="M155" s="525"/>
      <c r="N155" s="525"/>
      <c r="O155" s="525"/>
      <c r="P155" s="525"/>
      <c r="Q155" s="525"/>
      <c r="R155" s="525"/>
      <c r="S155" s="525"/>
      <c r="T155" s="525"/>
      <c r="U155" s="525"/>
      <c r="V155" s="525"/>
      <c r="W155" s="525"/>
      <c r="X155" s="525"/>
      <c r="Y155" s="525"/>
      <c r="Z155" s="525"/>
      <c r="AA155" s="525"/>
      <c r="AB155" s="525"/>
      <c r="AC155" s="525"/>
      <c r="AD155" s="525"/>
      <c r="AE155" s="525"/>
      <c r="AF155" s="525"/>
      <c r="AG155" s="525"/>
      <c r="AH155" s="525"/>
      <c r="AI155" s="525"/>
      <c r="AJ155" s="525"/>
      <c r="AK155" s="525"/>
      <c r="AL155" s="525"/>
    </row>
    <row r="156" spans="2:38" ht="15.75" hidden="1" customHeight="1" x14ac:dyDescent="0.25">
      <c r="B156" s="593" t="s">
        <v>179</v>
      </c>
      <c r="C156" s="523" t="s">
        <v>17</v>
      </c>
      <c r="D156" s="594" t="s">
        <v>273</v>
      </c>
      <c r="E156" s="525"/>
      <c r="F156" s="525"/>
      <c r="G156" s="525"/>
      <c r="H156" s="525"/>
      <c r="I156" s="525"/>
      <c r="J156" s="525"/>
      <c r="K156" s="525"/>
      <c r="L156" s="525"/>
      <c r="M156" s="525"/>
      <c r="N156" s="525"/>
      <c r="O156" s="525"/>
      <c r="P156" s="525"/>
      <c r="Q156" s="525"/>
      <c r="R156" s="525"/>
      <c r="S156" s="525"/>
      <c r="T156" s="525"/>
      <c r="U156" s="525"/>
      <c r="V156" s="525"/>
      <c r="W156" s="525"/>
      <c r="X156" s="525"/>
      <c r="Y156" s="525"/>
      <c r="Z156" s="525"/>
      <c r="AA156" s="525"/>
      <c r="AB156" s="525"/>
      <c r="AC156" s="525"/>
      <c r="AD156" s="525"/>
      <c r="AE156" s="525"/>
      <c r="AF156" s="525"/>
      <c r="AG156" s="525"/>
      <c r="AH156" s="525"/>
      <c r="AI156" s="525"/>
      <c r="AJ156" s="525"/>
      <c r="AK156" s="525"/>
      <c r="AL156" s="525"/>
    </row>
    <row r="157" spans="2:38" ht="15.75" hidden="1" customHeight="1" x14ac:dyDescent="0.25">
      <c r="B157" s="593" t="s">
        <v>180</v>
      </c>
      <c r="C157" s="523" t="s">
        <v>19</v>
      </c>
      <c r="D157" s="594" t="s">
        <v>273</v>
      </c>
      <c r="E157" s="525"/>
      <c r="F157" s="525"/>
      <c r="G157" s="525"/>
      <c r="H157" s="525"/>
      <c r="I157" s="525"/>
      <c r="J157" s="525"/>
      <c r="K157" s="525"/>
      <c r="L157" s="525"/>
      <c r="M157" s="525"/>
      <c r="N157" s="525"/>
      <c r="O157" s="525"/>
      <c r="P157" s="525"/>
      <c r="Q157" s="525"/>
      <c r="R157" s="525"/>
      <c r="S157" s="525"/>
      <c r="T157" s="525"/>
      <c r="U157" s="525"/>
      <c r="V157" s="525"/>
      <c r="W157" s="525"/>
      <c r="X157" s="525"/>
      <c r="Y157" s="525"/>
      <c r="Z157" s="525"/>
      <c r="AA157" s="525"/>
      <c r="AB157" s="525"/>
      <c r="AC157" s="525"/>
      <c r="AD157" s="525"/>
      <c r="AE157" s="525"/>
      <c r="AF157" s="525"/>
      <c r="AG157" s="525"/>
      <c r="AH157" s="525"/>
      <c r="AI157" s="525"/>
      <c r="AJ157" s="525"/>
      <c r="AK157" s="525"/>
      <c r="AL157" s="525"/>
    </row>
    <row r="158" spans="2:38" ht="15.75" hidden="1" customHeight="1" x14ac:dyDescent="0.25">
      <c r="B158" s="591">
        <v>51</v>
      </c>
      <c r="C158" s="527" t="s">
        <v>181</v>
      </c>
      <c r="D158" s="592" t="s">
        <v>2</v>
      </c>
      <c r="E158" s="525"/>
      <c r="F158" s="525"/>
      <c r="G158" s="525"/>
      <c r="H158" s="525"/>
      <c r="I158" s="525"/>
      <c r="J158" s="525"/>
      <c r="K158" s="525"/>
      <c r="L158" s="525"/>
      <c r="M158" s="525"/>
      <c r="N158" s="525"/>
      <c r="O158" s="525"/>
      <c r="P158" s="525"/>
      <c r="Q158" s="525"/>
      <c r="R158" s="525"/>
      <c r="S158" s="525"/>
      <c r="T158" s="525"/>
      <c r="U158" s="525"/>
      <c r="V158" s="525"/>
      <c r="W158" s="525"/>
      <c r="X158" s="525"/>
      <c r="Y158" s="525"/>
      <c r="Z158" s="525"/>
      <c r="AA158" s="525"/>
      <c r="AB158" s="525"/>
      <c r="AC158" s="525"/>
      <c r="AD158" s="525"/>
      <c r="AE158" s="525"/>
      <c r="AF158" s="525"/>
      <c r="AG158" s="525"/>
      <c r="AH158" s="525"/>
      <c r="AI158" s="525"/>
      <c r="AJ158" s="525"/>
      <c r="AK158" s="525"/>
      <c r="AL158" s="525"/>
    </row>
    <row r="159" spans="2:38" ht="15.75" hidden="1" customHeight="1" x14ac:dyDescent="0.25">
      <c r="B159" s="593" t="s">
        <v>182</v>
      </c>
      <c r="C159" s="523" t="s">
        <v>17</v>
      </c>
      <c r="D159" s="594" t="s">
        <v>273</v>
      </c>
      <c r="E159" s="525"/>
      <c r="F159" s="525"/>
      <c r="G159" s="525"/>
      <c r="H159" s="525"/>
      <c r="I159" s="525"/>
      <c r="J159" s="525"/>
      <c r="K159" s="525"/>
      <c r="L159" s="525"/>
      <c r="M159" s="525"/>
      <c r="N159" s="525"/>
      <c r="O159" s="525"/>
      <c r="P159" s="525"/>
      <c r="Q159" s="525"/>
      <c r="R159" s="525"/>
      <c r="S159" s="525"/>
      <c r="T159" s="525"/>
      <c r="U159" s="525"/>
      <c r="V159" s="525"/>
      <c r="W159" s="525"/>
      <c r="X159" s="525"/>
      <c r="Y159" s="525"/>
      <c r="Z159" s="525"/>
      <c r="AA159" s="525"/>
      <c r="AB159" s="525"/>
      <c r="AC159" s="525"/>
      <c r="AD159" s="525"/>
      <c r="AE159" s="525"/>
      <c r="AF159" s="525"/>
      <c r="AG159" s="525"/>
      <c r="AH159" s="525"/>
      <c r="AI159" s="525"/>
      <c r="AJ159" s="525"/>
      <c r="AK159" s="525"/>
      <c r="AL159" s="525"/>
    </row>
    <row r="160" spans="2:38" ht="15.75" hidden="1" customHeight="1" x14ac:dyDescent="0.25">
      <c r="B160" s="593" t="s">
        <v>183</v>
      </c>
      <c r="C160" s="523" t="s">
        <v>19</v>
      </c>
      <c r="D160" s="594" t="s">
        <v>273</v>
      </c>
      <c r="E160" s="525"/>
      <c r="F160" s="525"/>
      <c r="G160" s="525"/>
      <c r="H160" s="525"/>
      <c r="I160" s="525"/>
      <c r="J160" s="525"/>
      <c r="K160" s="525"/>
      <c r="L160" s="525"/>
      <c r="M160" s="525"/>
      <c r="N160" s="525"/>
      <c r="O160" s="525"/>
      <c r="P160" s="525"/>
      <c r="Q160" s="525"/>
      <c r="R160" s="525"/>
      <c r="S160" s="525"/>
      <c r="T160" s="525"/>
      <c r="U160" s="525"/>
      <c r="V160" s="525"/>
      <c r="W160" s="525"/>
      <c r="X160" s="525"/>
      <c r="Y160" s="525"/>
      <c r="Z160" s="525"/>
      <c r="AA160" s="525"/>
      <c r="AB160" s="525"/>
      <c r="AC160" s="525"/>
      <c r="AD160" s="525"/>
      <c r="AE160" s="525"/>
      <c r="AF160" s="525"/>
      <c r="AG160" s="525"/>
      <c r="AH160" s="525"/>
      <c r="AI160" s="525"/>
      <c r="AJ160" s="525"/>
      <c r="AK160" s="525"/>
      <c r="AL160" s="525"/>
    </row>
    <row r="161" spans="2:38" ht="15.75" hidden="1" customHeight="1" x14ac:dyDescent="0.25">
      <c r="B161" s="595" t="s">
        <v>184</v>
      </c>
      <c r="C161" s="527" t="s">
        <v>185</v>
      </c>
      <c r="D161" s="592" t="s">
        <v>2</v>
      </c>
      <c r="E161" s="525"/>
      <c r="F161" s="525"/>
      <c r="G161" s="525"/>
      <c r="H161" s="525"/>
      <c r="I161" s="525"/>
      <c r="J161" s="525"/>
      <c r="K161" s="525"/>
      <c r="L161" s="525"/>
      <c r="M161" s="525"/>
      <c r="N161" s="525"/>
      <c r="O161" s="525"/>
      <c r="P161" s="525"/>
      <c r="Q161" s="525"/>
      <c r="R161" s="525"/>
      <c r="S161" s="525"/>
      <c r="T161" s="525"/>
      <c r="U161" s="525"/>
      <c r="V161" s="525"/>
      <c r="W161" s="525"/>
      <c r="X161" s="525"/>
      <c r="Y161" s="525"/>
      <c r="Z161" s="525"/>
      <c r="AA161" s="525"/>
      <c r="AB161" s="525"/>
      <c r="AC161" s="525"/>
      <c r="AD161" s="525"/>
      <c r="AE161" s="525"/>
      <c r="AF161" s="525"/>
      <c r="AG161" s="525"/>
      <c r="AH161" s="525"/>
      <c r="AI161" s="525"/>
      <c r="AJ161" s="525"/>
      <c r="AK161" s="525"/>
      <c r="AL161" s="525"/>
    </row>
    <row r="162" spans="2:38" ht="15.75" hidden="1" customHeight="1" x14ac:dyDescent="0.25">
      <c r="B162" s="593" t="s">
        <v>186</v>
      </c>
      <c r="C162" s="523" t="s">
        <v>17</v>
      </c>
      <c r="D162" s="594" t="s">
        <v>273</v>
      </c>
      <c r="E162" s="525"/>
      <c r="F162" s="525"/>
      <c r="G162" s="525"/>
      <c r="H162" s="525"/>
      <c r="I162" s="525"/>
      <c r="J162" s="525"/>
      <c r="K162" s="525"/>
      <c r="L162" s="525"/>
      <c r="M162" s="525"/>
      <c r="N162" s="525"/>
      <c r="O162" s="525"/>
      <c r="P162" s="525"/>
      <c r="Q162" s="525"/>
      <c r="R162" s="525"/>
      <c r="S162" s="525"/>
      <c r="T162" s="525"/>
      <c r="U162" s="525"/>
      <c r="V162" s="525"/>
      <c r="W162" s="525"/>
      <c r="X162" s="525"/>
      <c r="Y162" s="525"/>
      <c r="Z162" s="525"/>
      <c r="AA162" s="525"/>
      <c r="AB162" s="525"/>
      <c r="AC162" s="525"/>
      <c r="AD162" s="525"/>
      <c r="AE162" s="525"/>
      <c r="AF162" s="525"/>
      <c r="AG162" s="525"/>
      <c r="AH162" s="525"/>
      <c r="AI162" s="525"/>
      <c r="AJ162" s="525"/>
      <c r="AK162" s="525"/>
      <c r="AL162" s="525"/>
    </row>
    <row r="163" spans="2:38" ht="15.75" hidden="1" customHeight="1" x14ac:dyDescent="0.25">
      <c r="B163" s="593" t="s">
        <v>187</v>
      </c>
      <c r="C163" s="523" t="s">
        <v>19</v>
      </c>
      <c r="D163" s="594" t="s">
        <v>273</v>
      </c>
      <c r="E163" s="525"/>
      <c r="F163" s="525"/>
      <c r="G163" s="525"/>
      <c r="H163" s="525"/>
      <c r="I163" s="525"/>
      <c r="J163" s="525"/>
      <c r="K163" s="525"/>
      <c r="L163" s="525"/>
      <c r="M163" s="525"/>
      <c r="N163" s="525"/>
      <c r="O163" s="525"/>
      <c r="P163" s="525"/>
      <c r="Q163" s="525"/>
      <c r="R163" s="525"/>
      <c r="S163" s="525"/>
      <c r="T163" s="525"/>
      <c r="U163" s="525"/>
      <c r="V163" s="525"/>
      <c r="W163" s="525"/>
      <c r="X163" s="525"/>
      <c r="Y163" s="525"/>
      <c r="Z163" s="525"/>
      <c r="AA163" s="525"/>
      <c r="AB163" s="525"/>
      <c r="AC163" s="525"/>
      <c r="AD163" s="525"/>
      <c r="AE163" s="525"/>
      <c r="AF163" s="525"/>
      <c r="AG163" s="525"/>
      <c r="AH163" s="525"/>
      <c r="AI163" s="525"/>
      <c r="AJ163" s="525"/>
      <c r="AK163" s="525"/>
      <c r="AL163" s="525"/>
    </row>
    <row r="164" spans="2:38" ht="15.75" hidden="1" customHeight="1" x14ac:dyDescent="0.25">
      <c r="B164" s="591">
        <v>53</v>
      </c>
      <c r="C164" s="527" t="s">
        <v>188</v>
      </c>
      <c r="D164" s="592" t="s">
        <v>2</v>
      </c>
      <c r="E164" s="525"/>
      <c r="F164" s="525"/>
      <c r="G164" s="525"/>
      <c r="H164" s="525"/>
      <c r="I164" s="525"/>
      <c r="J164" s="525"/>
      <c r="K164" s="525"/>
      <c r="L164" s="525"/>
      <c r="M164" s="525"/>
      <c r="N164" s="525"/>
      <c r="O164" s="525"/>
      <c r="P164" s="525"/>
      <c r="Q164" s="525"/>
      <c r="R164" s="525"/>
      <c r="S164" s="525"/>
      <c r="T164" s="525"/>
      <c r="U164" s="525"/>
      <c r="V164" s="525"/>
      <c r="W164" s="525"/>
      <c r="X164" s="525"/>
      <c r="Y164" s="525"/>
      <c r="Z164" s="525"/>
      <c r="AA164" s="525"/>
      <c r="AB164" s="525"/>
      <c r="AC164" s="525"/>
      <c r="AD164" s="525"/>
      <c r="AE164" s="525"/>
      <c r="AF164" s="525"/>
      <c r="AG164" s="525"/>
      <c r="AH164" s="525"/>
      <c r="AI164" s="525"/>
      <c r="AJ164" s="525"/>
      <c r="AK164" s="525"/>
      <c r="AL164" s="525"/>
    </row>
    <row r="165" spans="2:38" ht="15.75" hidden="1" customHeight="1" x14ac:dyDescent="0.25">
      <c r="B165" s="593" t="s">
        <v>189</v>
      </c>
      <c r="C165" s="523" t="s">
        <v>17</v>
      </c>
      <c r="D165" s="594" t="s">
        <v>273</v>
      </c>
      <c r="E165" s="525"/>
      <c r="F165" s="525"/>
      <c r="G165" s="525"/>
      <c r="H165" s="525"/>
      <c r="I165" s="525"/>
      <c r="J165" s="525"/>
      <c r="K165" s="525"/>
      <c r="L165" s="525"/>
      <c r="M165" s="525"/>
      <c r="N165" s="525"/>
      <c r="O165" s="525"/>
      <c r="P165" s="525"/>
      <c r="Q165" s="525"/>
      <c r="R165" s="525"/>
      <c r="S165" s="525"/>
      <c r="T165" s="525"/>
      <c r="U165" s="525"/>
      <c r="V165" s="525"/>
      <c r="W165" s="525"/>
      <c r="X165" s="525"/>
      <c r="Y165" s="525"/>
      <c r="Z165" s="525"/>
      <c r="AA165" s="525"/>
      <c r="AB165" s="525"/>
      <c r="AC165" s="525"/>
      <c r="AD165" s="525"/>
      <c r="AE165" s="525"/>
      <c r="AF165" s="525"/>
      <c r="AG165" s="525"/>
      <c r="AH165" s="525"/>
      <c r="AI165" s="525"/>
      <c r="AJ165" s="525"/>
      <c r="AK165" s="525"/>
      <c r="AL165" s="525"/>
    </row>
    <row r="166" spans="2:38" ht="15.75" hidden="1" customHeight="1" x14ac:dyDescent="0.25">
      <c r="B166" s="593" t="s">
        <v>190</v>
      </c>
      <c r="C166" s="523" t="s">
        <v>19</v>
      </c>
      <c r="D166" s="594" t="s">
        <v>273</v>
      </c>
      <c r="E166" s="525"/>
      <c r="F166" s="525"/>
      <c r="G166" s="525"/>
      <c r="H166" s="525"/>
      <c r="I166" s="525"/>
      <c r="J166" s="525"/>
      <c r="K166" s="525"/>
      <c r="L166" s="525"/>
      <c r="M166" s="525"/>
      <c r="N166" s="525"/>
      <c r="O166" s="525"/>
      <c r="P166" s="525"/>
      <c r="Q166" s="525"/>
      <c r="R166" s="525"/>
      <c r="S166" s="525"/>
      <c r="T166" s="525"/>
      <c r="U166" s="525"/>
      <c r="V166" s="525"/>
      <c r="W166" s="525"/>
      <c r="X166" s="525"/>
      <c r="Y166" s="525"/>
      <c r="Z166" s="525"/>
      <c r="AA166" s="525"/>
      <c r="AB166" s="525"/>
      <c r="AC166" s="525"/>
      <c r="AD166" s="525"/>
      <c r="AE166" s="525"/>
      <c r="AF166" s="525"/>
      <c r="AG166" s="525"/>
      <c r="AH166" s="525"/>
      <c r="AI166" s="525"/>
      <c r="AJ166" s="525"/>
      <c r="AK166" s="525"/>
      <c r="AL166" s="525"/>
    </row>
    <row r="167" spans="2:38" ht="15.75" hidden="1" customHeight="1" x14ac:dyDescent="0.25">
      <c r="B167" s="591">
        <v>54</v>
      </c>
      <c r="C167" s="527" t="s">
        <v>191</v>
      </c>
      <c r="D167" s="592" t="s">
        <v>2</v>
      </c>
      <c r="E167" s="525"/>
      <c r="F167" s="525"/>
      <c r="G167" s="525"/>
      <c r="H167" s="525"/>
      <c r="I167" s="525"/>
      <c r="J167" s="525"/>
      <c r="K167" s="525"/>
      <c r="L167" s="525"/>
      <c r="M167" s="525"/>
      <c r="N167" s="525"/>
      <c r="O167" s="525"/>
      <c r="P167" s="525"/>
      <c r="Q167" s="525"/>
      <c r="R167" s="525"/>
      <c r="S167" s="525"/>
      <c r="T167" s="525"/>
      <c r="U167" s="525"/>
      <c r="V167" s="525"/>
      <c r="W167" s="525"/>
      <c r="X167" s="525"/>
      <c r="Y167" s="525"/>
      <c r="Z167" s="525"/>
      <c r="AA167" s="525"/>
      <c r="AB167" s="525"/>
      <c r="AC167" s="525"/>
      <c r="AD167" s="525"/>
      <c r="AE167" s="525"/>
      <c r="AF167" s="525"/>
      <c r="AG167" s="525"/>
      <c r="AH167" s="525"/>
      <c r="AI167" s="525"/>
      <c r="AJ167" s="525"/>
      <c r="AK167" s="525"/>
      <c r="AL167" s="525"/>
    </row>
    <row r="168" spans="2:38" ht="15.75" hidden="1" customHeight="1" x14ac:dyDescent="0.25">
      <c r="B168" s="593" t="s">
        <v>192</v>
      </c>
      <c r="C168" s="523" t="s">
        <v>17</v>
      </c>
      <c r="D168" s="594" t="s">
        <v>273</v>
      </c>
      <c r="E168" s="525"/>
      <c r="F168" s="525"/>
      <c r="G168" s="525"/>
      <c r="H168" s="525"/>
      <c r="I168" s="525"/>
      <c r="J168" s="525"/>
      <c r="K168" s="525"/>
      <c r="L168" s="525"/>
      <c r="M168" s="525"/>
      <c r="N168" s="525"/>
      <c r="O168" s="525"/>
      <c r="P168" s="525"/>
      <c r="Q168" s="525"/>
      <c r="R168" s="525"/>
      <c r="S168" s="525"/>
      <c r="T168" s="525"/>
      <c r="U168" s="525"/>
      <c r="V168" s="525"/>
      <c r="W168" s="525"/>
      <c r="X168" s="525"/>
      <c r="Y168" s="525"/>
      <c r="Z168" s="525"/>
      <c r="AA168" s="525"/>
      <c r="AB168" s="525"/>
      <c r="AC168" s="525"/>
      <c r="AD168" s="525"/>
      <c r="AE168" s="525"/>
      <c r="AF168" s="525"/>
      <c r="AG168" s="525"/>
      <c r="AH168" s="525"/>
      <c r="AI168" s="525"/>
      <c r="AJ168" s="525"/>
      <c r="AK168" s="525"/>
      <c r="AL168" s="525"/>
    </row>
    <row r="169" spans="2:38" ht="15.75" hidden="1" customHeight="1" x14ac:dyDescent="0.25">
      <c r="B169" s="593" t="s">
        <v>193</v>
      </c>
      <c r="C169" s="523" t="s">
        <v>19</v>
      </c>
      <c r="D169" s="594" t="s">
        <v>273</v>
      </c>
      <c r="E169" s="525"/>
      <c r="F169" s="525"/>
      <c r="G169" s="525"/>
      <c r="H169" s="525"/>
      <c r="I169" s="525"/>
      <c r="J169" s="525"/>
      <c r="K169" s="525"/>
      <c r="L169" s="525"/>
      <c r="M169" s="525"/>
      <c r="N169" s="525"/>
      <c r="O169" s="525"/>
      <c r="P169" s="525"/>
      <c r="Q169" s="525"/>
      <c r="R169" s="525"/>
      <c r="S169" s="525"/>
      <c r="T169" s="525"/>
      <c r="U169" s="525"/>
      <c r="V169" s="525"/>
      <c r="W169" s="525"/>
      <c r="X169" s="525"/>
      <c r="Y169" s="525"/>
      <c r="Z169" s="525"/>
      <c r="AA169" s="525"/>
      <c r="AB169" s="525"/>
      <c r="AC169" s="525"/>
      <c r="AD169" s="525"/>
      <c r="AE169" s="525"/>
      <c r="AF169" s="525"/>
      <c r="AG169" s="525"/>
      <c r="AH169" s="525"/>
      <c r="AI169" s="525"/>
      <c r="AJ169" s="525"/>
      <c r="AK169" s="525"/>
      <c r="AL169" s="525"/>
    </row>
    <row r="170" spans="2:38" ht="15.75" hidden="1" customHeight="1" x14ac:dyDescent="0.25">
      <c r="B170" s="595" t="s">
        <v>194</v>
      </c>
      <c r="C170" s="527" t="s">
        <v>195</v>
      </c>
      <c r="D170" s="592" t="s">
        <v>2</v>
      </c>
      <c r="E170" s="525"/>
      <c r="F170" s="525"/>
      <c r="G170" s="525"/>
      <c r="H170" s="525"/>
      <c r="I170" s="525"/>
      <c r="J170" s="525"/>
      <c r="K170" s="525"/>
      <c r="L170" s="525"/>
      <c r="M170" s="525"/>
      <c r="N170" s="525"/>
      <c r="O170" s="525"/>
      <c r="P170" s="525"/>
      <c r="Q170" s="525"/>
      <c r="R170" s="525"/>
      <c r="S170" s="525"/>
      <c r="T170" s="525"/>
      <c r="U170" s="525"/>
      <c r="V170" s="525"/>
      <c r="W170" s="525"/>
      <c r="X170" s="525"/>
      <c r="Y170" s="525"/>
      <c r="Z170" s="525"/>
      <c r="AA170" s="525"/>
      <c r="AB170" s="525"/>
      <c r="AC170" s="525"/>
      <c r="AD170" s="525"/>
      <c r="AE170" s="525"/>
      <c r="AF170" s="525"/>
      <c r="AG170" s="525"/>
      <c r="AH170" s="525"/>
      <c r="AI170" s="525"/>
      <c r="AJ170" s="525"/>
      <c r="AK170" s="525"/>
      <c r="AL170" s="525"/>
    </row>
    <row r="171" spans="2:38" ht="15.75" hidden="1" customHeight="1" x14ac:dyDescent="0.25">
      <c r="B171" s="593" t="s">
        <v>196</v>
      </c>
      <c r="C171" s="523" t="s">
        <v>17</v>
      </c>
      <c r="D171" s="594" t="s">
        <v>273</v>
      </c>
      <c r="E171" s="525"/>
      <c r="F171" s="525"/>
      <c r="G171" s="525"/>
      <c r="H171" s="525"/>
      <c r="I171" s="525"/>
      <c r="J171" s="525"/>
      <c r="K171" s="525"/>
      <c r="L171" s="525"/>
      <c r="M171" s="525"/>
      <c r="N171" s="525"/>
      <c r="O171" s="525"/>
      <c r="P171" s="525"/>
      <c r="Q171" s="525"/>
      <c r="R171" s="525"/>
      <c r="S171" s="525"/>
      <c r="T171" s="525"/>
      <c r="U171" s="525"/>
      <c r="V171" s="525"/>
      <c r="W171" s="525"/>
      <c r="X171" s="525"/>
      <c r="Y171" s="525"/>
      <c r="Z171" s="525"/>
      <c r="AA171" s="525"/>
      <c r="AB171" s="525"/>
      <c r="AC171" s="525"/>
      <c r="AD171" s="525"/>
      <c r="AE171" s="525"/>
      <c r="AF171" s="525"/>
      <c r="AG171" s="525"/>
      <c r="AH171" s="525"/>
      <c r="AI171" s="525"/>
      <c r="AJ171" s="525"/>
      <c r="AK171" s="525"/>
      <c r="AL171" s="525"/>
    </row>
    <row r="172" spans="2:38" ht="15.75" hidden="1" customHeight="1" x14ac:dyDescent="0.25">
      <c r="B172" s="593" t="s">
        <v>197</v>
      </c>
      <c r="C172" s="523" t="s">
        <v>19</v>
      </c>
      <c r="D172" s="594" t="s">
        <v>273</v>
      </c>
      <c r="E172" s="525"/>
      <c r="F172" s="525"/>
      <c r="G172" s="525"/>
      <c r="H172" s="525"/>
      <c r="I172" s="525"/>
      <c r="J172" s="525"/>
      <c r="K172" s="525"/>
      <c r="L172" s="525"/>
      <c r="M172" s="525"/>
      <c r="N172" s="525"/>
      <c r="O172" s="525"/>
      <c r="P172" s="525"/>
      <c r="Q172" s="525"/>
      <c r="R172" s="525"/>
      <c r="S172" s="525"/>
      <c r="T172" s="525"/>
      <c r="U172" s="525"/>
      <c r="V172" s="525"/>
      <c r="W172" s="525"/>
      <c r="X172" s="525"/>
      <c r="Y172" s="525"/>
      <c r="Z172" s="525"/>
      <c r="AA172" s="525"/>
      <c r="AB172" s="525"/>
      <c r="AC172" s="525"/>
      <c r="AD172" s="525"/>
      <c r="AE172" s="525"/>
      <c r="AF172" s="525"/>
      <c r="AG172" s="525"/>
      <c r="AH172" s="525"/>
      <c r="AI172" s="525"/>
      <c r="AJ172" s="525"/>
      <c r="AK172" s="525"/>
      <c r="AL172" s="525"/>
    </row>
    <row r="173" spans="2:38" ht="15.75" hidden="1" customHeight="1" x14ac:dyDescent="0.25">
      <c r="B173" s="591">
        <v>56</v>
      </c>
      <c r="C173" s="527" t="s">
        <v>198</v>
      </c>
      <c r="D173" s="592" t="s">
        <v>2</v>
      </c>
      <c r="E173" s="525"/>
      <c r="F173" s="525"/>
      <c r="G173" s="525"/>
      <c r="H173" s="525"/>
      <c r="I173" s="525"/>
      <c r="J173" s="525"/>
      <c r="K173" s="525"/>
      <c r="L173" s="525"/>
      <c r="M173" s="525"/>
      <c r="N173" s="525"/>
      <c r="O173" s="525"/>
      <c r="P173" s="525"/>
      <c r="Q173" s="525"/>
      <c r="R173" s="525"/>
      <c r="S173" s="525"/>
      <c r="T173" s="525"/>
      <c r="U173" s="525"/>
      <c r="V173" s="525"/>
      <c r="W173" s="525"/>
      <c r="X173" s="525"/>
      <c r="Y173" s="525"/>
      <c r="Z173" s="525"/>
      <c r="AA173" s="525"/>
      <c r="AB173" s="525"/>
      <c r="AC173" s="525"/>
      <c r="AD173" s="525"/>
      <c r="AE173" s="525"/>
      <c r="AF173" s="525"/>
      <c r="AG173" s="525"/>
      <c r="AH173" s="525"/>
      <c r="AI173" s="525"/>
      <c r="AJ173" s="525"/>
      <c r="AK173" s="525"/>
      <c r="AL173" s="525"/>
    </row>
    <row r="174" spans="2:38" ht="15.75" hidden="1" customHeight="1" x14ac:dyDescent="0.25">
      <c r="B174" s="593" t="s">
        <v>199</v>
      </c>
      <c r="C174" s="523" t="s">
        <v>17</v>
      </c>
      <c r="D174" s="594" t="s">
        <v>273</v>
      </c>
      <c r="E174" s="525"/>
      <c r="F174" s="525"/>
      <c r="G174" s="525"/>
      <c r="H174" s="525"/>
      <c r="I174" s="525"/>
      <c r="J174" s="525"/>
      <c r="K174" s="525"/>
      <c r="L174" s="525"/>
      <c r="M174" s="525"/>
      <c r="N174" s="525"/>
      <c r="O174" s="525"/>
      <c r="P174" s="525"/>
      <c r="Q174" s="525"/>
      <c r="R174" s="525"/>
      <c r="S174" s="525"/>
      <c r="T174" s="525"/>
      <c r="U174" s="525"/>
      <c r="V174" s="525"/>
      <c r="W174" s="525"/>
      <c r="X174" s="525"/>
      <c r="Y174" s="525"/>
      <c r="Z174" s="525"/>
      <c r="AA174" s="525"/>
      <c r="AB174" s="525"/>
      <c r="AC174" s="525"/>
      <c r="AD174" s="525"/>
      <c r="AE174" s="525"/>
      <c r="AF174" s="525"/>
      <c r="AG174" s="525"/>
      <c r="AH174" s="525"/>
      <c r="AI174" s="525"/>
      <c r="AJ174" s="525"/>
      <c r="AK174" s="525"/>
      <c r="AL174" s="525"/>
    </row>
    <row r="175" spans="2:38" ht="15.75" hidden="1" customHeight="1" x14ac:dyDescent="0.25">
      <c r="B175" s="593" t="s">
        <v>200</v>
      </c>
      <c r="C175" s="523" t="s">
        <v>19</v>
      </c>
      <c r="D175" s="594" t="s">
        <v>273</v>
      </c>
      <c r="E175" s="525"/>
      <c r="F175" s="525"/>
      <c r="G175" s="525"/>
      <c r="H175" s="525"/>
      <c r="I175" s="525"/>
      <c r="J175" s="525"/>
      <c r="K175" s="525"/>
      <c r="L175" s="525"/>
      <c r="M175" s="525"/>
      <c r="N175" s="525"/>
      <c r="O175" s="525"/>
      <c r="P175" s="525"/>
      <c r="Q175" s="525"/>
      <c r="R175" s="525"/>
      <c r="S175" s="525"/>
      <c r="T175" s="525"/>
      <c r="U175" s="525"/>
      <c r="V175" s="525"/>
      <c r="W175" s="525"/>
      <c r="X175" s="525"/>
      <c r="Y175" s="525"/>
      <c r="Z175" s="525"/>
      <c r="AA175" s="525"/>
      <c r="AB175" s="525"/>
      <c r="AC175" s="525"/>
      <c r="AD175" s="525"/>
      <c r="AE175" s="525"/>
      <c r="AF175" s="525"/>
      <c r="AG175" s="525"/>
      <c r="AH175" s="525"/>
      <c r="AI175" s="525"/>
      <c r="AJ175" s="525"/>
      <c r="AK175" s="525"/>
      <c r="AL175" s="525"/>
    </row>
    <row r="176" spans="2:38" ht="15.75" hidden="1" customHeight="1" x14ac:dyDescent="0.25">
      <c r="B176" s="591">
        <v>57</v>
      </c>
      <c r="C176" s="527" t="s">
        <v>201</v>
      </c>
      <c r="D176" s="592" t="s">
        <v>2</v>
      </c>
      <c r="E176" s="525"/>
      <c r="F176" s="525"/>
      <c r="G176" s="525"/>
      <c r="H176" s="525"/>
      <c r="I176" s="525"/>
      <c r="J176" s="525"/>
      <c r="K176" s="525"/>
      <c r="L176" s="525"/>
      <c r="M176" s="525"/>
      <c r="N176" s="525"/>
      <c r="O176" s="525"/>
      <c r="P176" s="525"/>
      <c r="Q176" s="525"/>
      <c r="R176" s="525"/>
      <c r="S176" s="525"/>
      <c r="T176" s="525"/>
      <c r="U176" s="525"/>
      <c r="V176" s="525"/>
      <c r="W176" s="525"/>
      <c r="X176" s="525"/>
      <c r="Y176" s="525"/>
      <c r="Z176" s="525"/>
      <c r="AA176" s="525"/>
      <c r="AB176" s="525"/>
      <c r="AC176" s="525"/>
      <c r="AD176" s="525"/>
      <c r="AE176" s="525"/>
      <c r="AF176" s="525"/>
      <c r="AG176" s="525"/>
      <c r="AH176" s="525"/>
      <c r="AI176" s="525"/>
      <c r="AJ176" s="525"/>
      <c r="AK176" s="525"/>
      <c r="AL176" s="525"/>
    </row>
    <row r="177" spans="2:38" ht="15.75" hidden="1" customHeight="1" x14ac:dyDescent="0.25">
      <c r="B177" s="593" t="s">
        <v>202</v>
      </c>
      <c r="C177" s="523" t="s">
        <v>17</v>
      </c>
      <c r="D177" s="594" t="s">
        <v>273</v>
      </c>
      <c r="E177" s="525"/>
      <c r="F177" s="525"/>
      <c r="G177" s="525"/>
      <c r="H177" s="525"/>
      <c r="I177" s="525"/>
      <c r="J177" s="525"/>
      <c r="K177" s="525"/>
      <c r="L177" s="525"/>
      <c r="M177" s="525"/>
      <c r="N177" s="525"/>
      <c r="O177" s="525"/>
      <c r="P177" s="525"/>
      <c r="Q177" s="525"/>
      <c r="R177" s="525"/>
      <c r="S177" s="525"/>
      <c r="T177" s="525"/>
      <c r="U177" s="525"/>
      <c r="V177" s="525"/>
      <c r="W177" s="525"/>
      <c r="X177" s="525"/>
      <c r="Y177" s="525"/>
      <c r="Z177" s="525"/>
      <c r="AA177" s="525"/>
      <c r="AB177" s="525"/>
      <c r="AC177" s="525"/>
      <c r="AD177" s="525"/>
      <c r="AE177" s="525"/>
      <c r="AF177" s="525"/>
      <c r="AG177" s="525"/>
      <c r="AH177" s="525"/>
      <c r="AI177" s="525"/>
      <c r="AJ177" s="525"/>
      <c r="AK177" s="525"/>
      <c r="AL177" s="525"/>
    </row>
    <row r="178" spans="2:38" ht="15.75" hidden="1" customHeight="1" x14ac:dyDescent="0.25">
      <c r="B178" s="593" t="s">
        <v>203</v>
      </c>
      <c r="C178" s="523" t="s">
        <v>19</v>
      </c>
      <c r="D178" s="594" t="s">
        <v>273</v>
      </c>
      <c r="E178" s="525"/>
      <c r="F178" s="525"/>
      <c r="G178" s="525"/>
      <c r="H178" s="525"/>
      <c r="I178" s="525"/>
      <c r="J178" s="525"/>
      <c r="K178" s="525"/>
      <c r="L178" s="525"/>
      <c r="M178" s="525"/>
      <c r="N178" s="525"/>
      <c r="O178" s="525"/>
      <c r="P178" s="525"/>
      <c r="Q178" s="525"/>
      <c r="R178" s="525"/>
      <c r="S178" s="525"/>
      <c r="T178" s="525"/>
      <c r="U178" s="525"/>
      <c r="V178" s="525"/>
      <c r="W178" s="525"/>
      <c r="X178" s="525"/>
      <c r="Y178" s="525"/>
      <c r="Z178" s="525"/>
      <c r="AA178" s="525"/>
      <c r="AB178" s="525"/>
      <c r="AC178" s="525"/>
      <c r="AD178" s="525"/>
      <c r="AE178" s="525"/>
      <c r="AF178" s="525"/>
      <c r="AG178" s="525"/>
      <c r="AH178" s="525"/>
      <c r="AI178" s="525"/>
      <c r="AJ178" s="525"/>
      <c r="AK178" s="525"/>
      <c r="AL178" s="525"/>
    </row>
    <row r="179" spans="2:38" ht="15.75" hidden="1" customHeight="1" x14ac:dyDescent="0.25">
      <c r="B179" s="591">
        <v>58</v>
      </c>
      <c r="C179" s="527" t="s">
        <v>204</v>
      </c>
      <c r="D179" s="592" t="s">
        <v>2</v>
      </c>
      <c r="E179" s="525"/>
      <c r="F179" s="525"/>
      <c r="G179" s="525"/>
      <c r="H179" s="525"/>
      <c r="I179" s="525"/>
      <c r="J179" s="525"/>
      <c r="K179" s="525"/>
      <c r="L179" s="525"/>
      <c r="M179" s="525"/>
      <c r="N179" s="525"/>
      <c r="O179" s="525"/>
      <c r="P179" s="525"/>
      <c r="Q179" s="525"/>
      <c r="R179" s="525"/>
      <c r="S179" s="525"/>
      <c r="T179" s="525"/>
      <c r="U179" s="525"/>
      <c r="V179" s="525"/>
      <c r="W179" s="525"/>
      <c r="X179" s="525"/>
      <c r="Y179" s="525"/>
      <c r="Z179" s="525"/>
      <c r="AA179" s="525"/>
      <c r="AB179" s="525"/>
      <c r="AC179" s="525"/>
      <c r="AD179" s="525"/>
      <c r="AE179" s="525"/>
      <c r="AF179" s="525"/>
      <c r="AG179" s="525"/>
      <c r="AH179" s="525"/>
      <c r="AI179" s="525"/>
      <c r="AJ179" s="525"/>
      <c r="AK179" s="525"/>
      <c r="AL179" s="525"/>
    </row>
    <row r="180" spans="2:38" ht="15.75" hidden="1" customHeight="1" x14ac:dyDescent="0.25">
      <c r="B180" s="593" t="s">
        <v>205</v>
      </c>
      <c r="C180" s="523" t="s">
        <v>17</v>
      </c>
      <c r="D180" s="594" t="s">
        <v>273</v>
      </c>
      <c r="E180" s="525"/>
      <c r="F180" s="525"/>
      <c r="G180" s="525"/>
      <c r="H180" s="525"/>
      <c r="I180" s="525"/>
      <c r="J180" s="525"/>
      <c r="K180" s="525"/>
      <c r="L180" s="525"/>
      <c r="M180" s="525"/>
      <c r="N180" s="525"/>
      <c r="O180" s="525"/>
      <c r="P180" s="525"/>
      <c r="Q180" s="525"/>
      <c r="R180" s="525"/>
      <c r="S180" s="525"/>
      <c r="T180" s="525"/>
      <c r="U180" s="525"/>
      <c r="V180" s="525"/>
      <c r="W180" s="525"/>
      <c r="X180" s="525"/>
      <c r="Y180" s="525"/>
      <c r="Z180" s="525"/>
      <c r="AA180" s="525"/>
      <c r="AB180" s="525"/>
      <c r="AC180" s="525"/>
      <c r="AD180" s="525"/>
      <c r="AE180" s="525"/>
      <c r="AF180" s="525"/>
      <c r="AG180" s="525"/>
      <c r="AH180" s="525"/>
      <c r="AI180" s="525"/>
      <c r="AJ180" s="525"/>
      <c r="AK180" s="525"/>
      <c r="AL180" s="525"/>
    </row>
    <row r="181" spans="2:38" ht="15.75" hidden="1" customHeight="1" x14ac:dyDescent="0.25">
      <c r="B181" s="593" t="s">
        <v>206</v>
      </c>
      <c r="C181" s="523" t="s">
        <v>19</v>
      </c>
      <c r="D181" s="594" t="s">
        <v>273</v>
      </c>
      <c r="E181" s="525"/>
      <c r="F181" s="525"/>
      <c r="G181" s="525"/>
      <c r="H181" s="525"/>
      <c r="I181" s="525"/>
      <c r="J181" s="525"/>
      <c r="K181" s="525"/>
      <c r="L181" s="525"/>
      <c r="M181" s="525"/>
      <c r="N181" s="525"/>
      <c r="O181" s="525"/>
      <c r="P181" s="525"/>
      <c r="Q181" s="525"/>
      <c r="R181" s="525"/>
      <c r="S181" s="525"/>
      <c r="T181" s="525"/>
      <c r="U181" s="525"/>
      <c r="V181" s="525"/>
      <c r="W181" s="525"/>
      <c r="X181" s="525"/>
      <c r="Y181" s="525"/>
      <c r="Z181" s="525"/>
      <c r="AA181" s="525"/>
      <c r="AB181" s="525"/>
      <c r="AC181" s="525"/>
      <c r="AD181" s="525"/>
      <c r="AE181" s="525"/>
      <c r="AF181" s="525"/>
      <c r="AG181" s="525"/>
      <c r="AH181" s="525"/>
      <c r="AI181" s="525"/>
      <c r="AJ181" s="525"/>
      <c r="AK181" s="525"/>
      <c r="AL181" s="525"/>
    </row>
    <row r="182" spans="2:38" ht="15.75" hidden="1" customHeight="1" x14ac:dyDescent="0.25">
      <c r="B182" s="591">
        <v>59</v>
      </c>
      <c r="C182" s="527" t="s">
        <v>207</v>
      </c>
      <c r="D182" s="592" t="s">
        <v>2</v>
      </c>
      <c r="E182" s="525"/>
      <c r="F182" s="525"/>
      <c r="G182" s="525"/>
      <c r="H182" s="525"/>
      <c r="I182" s="525"/>
      <c r="J182" s="525"/>
      <c r="K182" s="525"/>
      <c r="L182" s="525"/>
      <c r="M182" s="525"/>
      <c r="N182" s="525"/>
      <c r="O182" s="525"/>
      <c r="P182" s="525"/>
      <c r="Q182" s="525"/>
      <c r="R182" s="525"/>
      <c r="S182" s="525"/>
      <c r="T182" s="525"/>
      <c r="U182" s="525"/>
      <c r="V182" s="525"/>
      <c r="W182" s="525"/>
      <c r="X182" s="525"/>
      <c r="Y182" s="525"/>
      <c r="Z182" s="525"/>
      <c r="AA182" s="525"/>
      <c r="AB182" s="525"/>
      <c r="AC182" s="525"/>
      <c r="AD182" s="525"/>
      <c r="AE182" s="525"/>
      <c r="AF182" s="525"/>
      <c r="AG182" s="525"/>
      <c r="AH182" s="525"/>
      <c r="AI182" s="525"/>
      <c r="AJ182" s="525"/>
      <c r="AK182" s="525"/>
      <c r="AL182" s="525"/>
    </row>
    <row r="183" spans="2:38" ht="15.75" hidden="1" customHeight="1" x14ac:dyDescent="0.25">
      <c r="B183" s="593" t="s">
        <v>208</v>
      </c>
      <c r="C183" s="523" t="s">
        <v>17</v>
      </c>
      <c r="D183" s="594" t="s">
        <v>273</v>
      </c>
      <c r="E183" s="525"/>
      <c r="F183" s="525"/>
      <c r="G183" s="525"/>
      <c r="H183" s="525"/>
      <c r="I183" s="525"/>
      <c r="J183" s="525"/>
      <c r="K183" s="525"/>
      <c r="L183" s="525"/>
      <c r="M183" s="525"/>
      <c r="N183" s="525"/>
      <c r="O183" s="525"/>
      <c r="P183" s="525"/>
      <c r="Q183" s="525"/>
      <c r="R183" s="525"/>
      <c r="S183" s="525"/>
      <c r="T183" s="525"/>
      <c r="U183" s="525"/>
      <c r="V183" s="525"/>
      <c r="W183" s="525"/>
      <c r="X183" s="525"/>
      <c r="Y183" s="525"/>
      <c r="Z183" s="525"/>
      <c r="AA183" s="525"/>
      <c r="AB183" s="525"/>
      <c r="AC183" s="525"/>
      <c r="AD183" s="525"/>
      <c r="AE183" s="525"/>
      <c r="AF183" s="525"/>
      <c r="AG183" s="525"/>
      <c r="AH183" s="525"/>
      <c r="AI183" s="525"/>
      <c r="AJ183" s="525"/>
      <c r="AK183" s="525"/>
      <c r="AL183" s="525"/>
    </row>
    <row r="184" spans="2:38" ht="15.75" hidden="1" customHeight="1" x14ac:dyDescent="0.25">
      <c r="B184" s="593" t="s">
        <v>209</v>
      </c>
      <c r="C184" s="523" t="s">
        <v>19</v>
      </c>
      <c r="D184" s="594" t="s">
        <v>273</v>
      </c>
      <c r="E184" s="525"/>
      <c r="F184" s="525"/>
      <c r="G184" s="525"/>
      <c r="H184" s="525"/>
      <c r="I184" s="525"/>
      <c r="J184" s="525"/>
      <c r="K184" s="525"/>
      <c r="L184" s="525"/>
      <c r="M184" s="525"/>
      <c r="N184" s="525"/>
      <c r="O184" s="525"/>
      <c r="P184" s="525"/>
      <c r="Q184" s="525"/>
      <c r="R184" s="525"/>
      <c r="S184" s="525"/>
      <c r="T184" s="525"/>
      <c r="U184" s="525"/>
      <c r="V184" s="525"/>
      <c r="W184" s="525"/>
      <c r="X184" s="525"/>
      <c r="Y184" s="525"/>
      <c r="Z184" s="525"/>
      <c r="AA184" s="525"/>
      <c r="AB184" s="525"/>
      <c r="AC184" s="525"/>
      <c r="AD184" s="525"/>
      <c r="AE184" s="525"/>
      <c r="AF184" s="525"/>
      <c r="AG184" s="525"/>
      <c r="AH184" s="525"/>
      <c r="AI184" s="525"/>
      <c r="AJ184" s="525"/>
      <c r="AK184" s="525"/>
      <c r="AL184" s="525"/>
    </row>
    <row r="185" spans="2:38" ht="15.75" hidden="1" customHeight="1" x14ac:dyDescent="0.25">
      <c r="B185" s="591">
        <v>60</v>
      </c>
      <c r="C185" s="527" t="s">
        <v>210</v>
      </c>
      <c r="D185" s="592" t="s">
        <v>2</v>
      </c>
      <c r="E185" s="525"/>
      <c r="F185" s="525"/>
      <c r="G185" s="525"/>
      <c r="H185" s="525"/>
      <c r="I185" s="525"/>
      <c r="J185" s="525"/>
      <c r="K185" s="525"/>
      <c r="L185" s="525"/>
      <c r="M185" s="525"/>
      <c r="N185" s="525"/>
      <c r="O185" s="525"/>
      <c r="P185" s="525"/>
      <c r="Q185" s="525"/>
      <c r="R185" s="525"/>
      <c r="S185" s="525"/>
      <c r="T185" s="525"/>
      <c r="U185" s="525"/>
      <c r="V185" s="525"/>
      <c r="W185" s="525"/>
      <c r="X185" s="525"/>
      <c r="Y185" s="525"/>
      <c r="Z185" s="525"/>
      <c r="AA185" s="525"/>
      <c r="AB185" s="525"/>
      <c r="AC185" s="525"/>
      <c r="AD185" s="525"/>
      <c r="AE185" s="525"/>
      <c r="AF185" s="525"/>
      <c r="AG185" s="525"/>
      <c r="AH185" s="525"/>
      <c r="AI185" s="525"/>
      <c r="AJ185" s="525"/>
      <c r="AK185" s="525"/>
      <c r="AL185" s="525"/>
    </row>
    <row r="186" spans="2:38" ht="15.75" hidden="1" customHeight="1" x14ac:dyDescent="0.25">
      <c r="B186" s="593" t="s">
        <v>211</v>
      </c>
      <c r="C186" s="523" t="s">
        <v>17</v>
      </c>
      <c r="D186" s="594" t="s">
        <v>273</v>
      </c>
      <c r="E186" s="525"/>
      <c r="F186" s="525"/>
      <c r="G186" s="525"/>
      <c r="H186" s="525"/>
      <c r="I186" s="525"/>
      <c r="J186" s="525"/>
      <c r="K186" s="525"/>
      <c r="L186" s="525"/>
      <c r="M186" s="525"/>
      <c r="N186" s="525"/>
      <c r="O186" s="525"/>
      <c r="P186" s="525"/>
      <c r="Q186" s="525"/>
      <c r="R186" s="525"/>
      <c r="S186" s="525"/>
      <c r="T186" s="525"/>
      <c r="U186" s="525"/>
      <c r="V186" s="525"/>
      <c r="W186" s="525"/>
      <c r="X186" s="525"/>
      <c r="Y186" s="525"/>
      <c r="Z186" s="525"/>
      <c r="AA186" s="525"/>
      <c r="AB186" s="525"/>
      <c r="AC186" s="525"/>
      <c r="AD186" s="525"/>
      <c r="AE186" s="525"/>
      <c r="AF186" s="525"/>
      <c r="AG186" s="525"/>
      <c r="AH186" s="525"/>
      <c r="AI186" s="525"/>
      <c r="AJ186" s="525"/>
      <c r="AK186" s="525"/>
      <c r="AL186" s="525"/>
    </row>
    <row r="187" spans="2:38" ht="15.75" hidden="1" customHeight="1" x14ac:dyDescent="0.25">
      <c r="B187" s="593" t="s">
        <v>212</v>
      </c>
      <c r="C187" s="523" t="s">
        <v>19</v>
      </c>
      <c r="D187" s="594" t="s">
        <v>273</v>
      </c>
      <c r="E187" s="525"/>
      <c r="F187" s="525"/>
      <c r="G187" s="525"/>
      <c r="H187" s="525"/>
      <c r="I187" s="525"/>
      <c r="J187" s="525"/>
      <c r="K187" s="525"/>
      <c r="L187" s="525"/>
      <c r="M187" s="525"/>
      <c r="N187" s="525"/>
      <c r="O187" s="525"/>
      <c r="P187" s="525"/>
      <c r="Q187" s="525"/>
      <c r="R187" s="525"/>
      <c r="S187" s="525"/>
      <c r="T187" s="525"/>
      <c r="U187" s="525"/>
      <c r="V187" s="525"/>
      <c r="W187" s="525"/>
      <c r="X187" s="525"/>
      <c r="Y187" s="525"/>
      <c r="Z187" s="525"/>
      <c r="AA187" s="525"/>
      <c r="AB187" s="525"/>
      <c r="AC187" s="525"/>
      <c r="AD187" s="525"/>
      <c r="AE187" s="525"/>
      <c r="AF187" s="525"/>
      <c r="AG187" s="525"/>
      <c r="AH187" s="525"/>
      <c r="AI187" s="525"/>
      <c r="AJ187" s="525"/>
      <c r="AK187" s="525"/>
      <c r="AL187" s="525"/>
    </row>
    <row r="188" spans="2:38" ht="15.75" hidden="1" customHeight="1" x14ac:dyDescent="0.25">
      <c r="B188" s="591">
        <v>61</v>
      </c>
      <c r="C188" s="527" t="s">
        <v>213</v>
      </c>
      <c r="D188" s="592" t="s">
        <v>2</v>
      </c>
      <c r="E188" s="525"/>
      <c r="F188" s="525"/>
      <c r="G188" s="525"/>
      <c r="H188" s="525"/>
      <c r="I188" s="525"/>
      <c r="J188" s="525"/>
      <c r="K188" s="525"/>
      <c r="L188" s="525"/>
      <c r="M188" s="525"/>
      <c r="N188" s="525"/>
      <c r="O188" s="525"/>
      <c r="P188" s="525"/>
      <c r="Q188" s="525"/>
      <c r="R188" s="525"/>
      <c r="S188" s="525"/>
      <c r="T188" s="525"/>
      <c r="U188" s="525"/>
      <c r="V188" s="525"/>
      <c r="W188" s="525"/>
      <c r="X188" s="525"/>
      <c r="Y188" s="525"/>
      <c r="Z188" s="525"/>
      <c r="AA188" s="525"/>
      <c r="AB188" s="525"/>
      <c r="AC188" s="525"/>
      <c r="AD188" s="525"/>
      <c r="AE188" s="525"/>
      <c r="AF188" s="525"/>
      <c r="AG188" s="525"/>
      <c r="AH188" s="525"/>
      <c r="AI188" s="525"/>
      <c r="AJ188" s="525"/>
      <c r="AK188" s="525"/>
      <c r="AL188" s="525"/>
    </row>
    <row r="189" spans="2:38" ht="15.75" hidden="1" customHeight="1" x14ac:dyDescent="0.25">
      <c r="B189" s="593" t="s">
        <v>214</v>
      </c>
      <c r="C189" s="523" t="s">
        <v>17</v>
      </c>
      <c r="D189" s="594" t="s">
        <v>273</v>
      </c>
      <c r="E189" s="525"/>
      <c r="F189" s="525"/>
      <c r="G189" s="525"/>
      <c r="H189" s="525"/>
      <c r="I189" s="525"/>
      <c r="J189" s="525"/>
      <c r="K189" s="525"/>
      <c r="L189" s="525"/>
      <c r="M189" s="525"/>
      <c r="N189" s="525"/>
      <c r="O189" s="525"/>
      <c r="P189" s="525"/>
      <c r="Q189" s="525"/>
      <c r="R189" s="525"/>
      <c r="S189" s="525"/>
      <c r="T189" s="525"/>
      <c r="U189" s="525"/>
      <c r="V189" s="525"/>
      <c r="W189" s="525"/>
      <c r="X189" s="525"/>
      <c r="Y189" s="525"/>
      <c r="Z189" s="525"/>
      <c r="AA189" s="525"/>
      <c r="AB189" s="525"/>
      <c r="AC189" s="525"/>
      <c r="AD189" s="525"/>
      <c r="AE189" s="525"/>
      <c r="AF189" s="525"/>
      <c r="AG189" s="525"/>
      <c r="AH189" s="525"/>
      <c r="AI189" s="525"/>
      <c r="AJ189" s="525"/>
      <c r="AK189" s="525"/>
      <c r="AL189" s="525"/>
    </row>
    <row r="190" spans="2:38" ht="15.75" hidden="1" customHeight="1" x14ac:dyDescent="0.25">
      <c r="B190" s="593" t="s">
        <v>215</v>
      </c>
      <c r="C190" s="523" t="s">
        <v>19</v>
      </c>
      <c r="D190" s="594" t="s">
        <v>273</v>
      </c>
      <c r="E190" s="525"/>
      <c r="F190" s="525"/>
      <c r="G190" s="525"/>
      <c r="H190" s="525"/>
      <c r="I190" s="525"/>
      <c r="J190" s="525"/>
      <c r="K190" s="525"/>
      <c r="L190" s="525"/>
      <c r="M190" s="525"/>
      <c r="N190" s="525"/>
      <c r="O190" s="525"/>
      <c r="P190" s="525"/>
      <c r="Q190" s="525"/>
      <c r="R190" s="525"/>
      <c r="S190" s="525"/>
      <c r="T190" s="525"/>
      <c r="U190" s="525"/>
      <c r="V190" s="525"/>
      <c r="W190" s="525"/>
      <c r="X190" s="525"/>
      <c r="Y190" s="525"/>
      <c r="Z190" s="525"/>
      <c r="AA190" s="525"/>
      <c r="AB190" s="525"/>
      <c r="AC190" s="525"/>
      <c r="AD190" s="525"/>
      <c r="AE190" s="525"/>
      <c r="AF190" s="525"/>
      <c r="AG190" s="525"/>
      <c r="AH190" s="525"/>
      <c r="AI190" s="525"/>
      <c r="AJ190" s="525"/>
      <c r="AK190" s="525"/>
      <c r="AL190" s="525"/>
    </row>
    <row r="191" spans="2:38" ht="15.75" hidden="1" customHeight="1" x14ac:dyDescent="0.25">
      <c r="B191" s="591">
        <v>62</v>
      </c>
      <c r="C191" s="527" t="s">
        <v>216</v>
      </c>
      <c r="D191" s="592" t="s">
        <v>2</v>
      </c>
      <c r="E191" s="525"/>
      <c r="F191" s="525"/>
      <c r="G191" s="525"/>
      <c r="H191" s="525"/>
      <c r="I191" s="525"/>
      <c r="J191" s="525"/>
      <c r="K191" s="525"/>
      <c r="L191" s="525"/>
      <c r="M191" s="525"/>
      <c r="N191" s="525"/>
      <c r="O191" s="525"/>
      <c r="P191" s="525"/>
      <c r="Q191" s="525"/>
      <c r="R191" s="525"/>
      <c r="S191" s="525"/>
      <c r="T191" s="525"/>
      <c r="U191" s="525"/>
      <c r="V191" s="525"/>
      <c r="W191" s="525"/>
      <c r="X191" s="525"/>
      <c r="Y191" s="525"/>
      <c r="Z191" s="525"/>
      <c r="AA191" s="525"/>
      <c r="AB191" s="525"/>
      <c r="AC191" s="525"/>
      <c r="AD191" s="525"/>
      <c r="AE191" s="525"/>
      <c r="AF191" s="525"/>
      <c r="AG191" s="525"/>
      <c r="AH191" s="525"/>
      <c r="AI191" s="525"/>
      <c r="AJ191" s="525"/>
      <c r="AK191" s="525"/>
      <c r="AL191" s="525"/>
    </row>
    <row r="192" spans="2:38" ht="15.75" hidden="1" customHeight="1" x14ac:dyDescent="0.25">
      <c r="B192" s="593" t="s">
        <v>217</v>
      </c>
      <c r="C192" s="523" t="s">
        <v>17</v>
      </c>
      <c r="D192" s="594" t="s">
        <v>273</v>
      </c>
      <c r="E192" s="525"/>
      <c r="F192" s="525"/>
      <c r="G192" s="525"/>
      <c r="H192" s="525"/>
      <c r="I192" s="525"/>
      <c r="J192" s="525"/>
      <c r="K192" s="525"/>
      <c r="L192" s="525"/>
      <c r="M192" s="525"/>
      <c r="N192" s="525"/>
      <c r="O192" s="525"/>
      <c r="P192" s="525"/>
      <c r="Q192" s="525"/>
      <c r="R192" s="525"/>
      <c r="S192" s="525"/>
      <c r="T192" s="525"/>
      <c r="U192" s="525"/>
      <c r="V192" s="525"/>
      <c r="W192" s="525"/>
      <c r="X192" s="525"/>
      <c r="Y192" s="525"/>
      <c r="Z192" s="525"/>
      <c r="AA192" s="525"/>
      <c r="AB192" s="525"/>
      <c r="AC192" s="525"/>
      <c r="AD192" s="525"/>
      <c r="AE192" s="525"/>
      <c r="AF192" s="525"/>
      <c r="AG192" s="525"/>
      <c r="AH192" s="525"/>
      <c r="AI192" s="525"/>
      <c r="AJ192" s="525"/>
      <c r="AK192" s="525"/>
      <c r="AL192" s="525"/>
    </row>
    <row r="193" spans="2:38" ht="15.75" hidden="1" customHeight="1" x14ac:dyDescent="0.25">
      <c r="B193" s="593" t="s">
        <v>218</v>
      </c>
      <c r="C193" s="523" t="s">
        <v>19</v>
      </c>
      <c r="D193" s="594" t="s">
        <v>273</v>
      </c>
      <c r="E193" s="525"/>
      <c r="F193" s="525"/>
      <c r="G193" s="525"/>
      <c r="H193" s="525"/>
      <c r="I193" s="525"/>
      <c r="J193" s="525"/>
      <c r="K193" s="525"/>
      <c r="L193" s="525"/>
      <c r="M193" s="525"/>
      <c r="N193" s="525"/>
      <c r="O193" s="525"/>
      <c r="P193" s="525"/>
      <c r="Q193" s="525"/>
      <c r="R193" s="525"/>
      <c r="S193" s="525"/>
      <c r="T193" s="525"/>
      <c r="U193" s="525"/>
      <c r="V193" s="525"/>
      <c r="W193" s="525"/>
      <c r="X193" s="525"/>
      <c r="Y193" s="525"/>
      <c r="Z193" s="525"/>
      <c r="AA193" s="525"/>
      <c r="AB193" s="525"/>
      <c r="AC193" s="525"/>
      <c r="AD193" s="525"/>
      <c r="AE193" s="525"/>
      <c r="AF193" s="525"/>
      <c r="AG193" s="525"/>
      <c r="AH193" s="525"/>
      <c r="AI193" s="525"/>
      <c r="AJ193" s="525"/>
      <c r="AK193" s="525"/>
      <c r="AL193" s="525"/>
    </row>
    <row r="194" spans="2:38" ht="15.75" hidden="1" customHeight="1" x14ac:dyDescent="0.25">
      <c r="B194" s="591">
        <v>63</v>
      </c>
      <c r="C194" s="527" t="s">
        <v>219</v>
      </c>
      <c r="D194" s="592" t="s">
        <v>2</v>
      </c>
      <c r="E194" s="525"/>
      <c r="F194" s="525"/>
      <c r="G194" s="525"/>
      <c r="H194" s="525"/>
      <c r="I194" s="525"/>
      <c r="J194" s="525"/>
      <c r="K194" s="525"/>
      <c r="L194" s="525"/>
      <c r="M194" s="525"/>
      <c r="N194" s="525"/>
      <c r="O194" s="525"/>
      <c r="P194" s="525"/>
      <c r="Q194" s="525"/>
      <c r="R194" s="525"/>
      <c r="S194" s="525"/>
      <c r="T194" s="525"/>
      <c r="U194" s="525"/>
      <c r="V194" s="525"/>
      <c r="W194" s="525"/>
      <c r="X194" s="525"/>
      <c r="Y194" s="525"/>
      <c r="Z194" s="525"/>
      <c r="AA194" s="525"/>
      <c r="AB194" s="525"/>
      <c r="AC194" s="525"/>
      <c r="AD194" s="525"/>
      <c r="AE194" s="525"/>
      <c r="AF194" s="525"/>
      <c r="AG194" s="525"/>
      <c r="AH194" s="525"/>
      <c r="AI194" s="525"/>
      <c r="AJ194" s="525"/>
      <c r="AK194" s="525"/>
      <c r="AL194" s="525"/>
    </row>
    <row r="195" spans="2:38" ht="15.75" hidden="1" customHeight="1" x14ac:dyDescent="0.25">
      <c r="B195" s="593" t="s">
        <v>220</v>
      </c>
      <c r="C195" s="523" t="s">
        <v>17</v>
      </c>
      <c r="D195" s="594" t="s">
        <v>273</v>
      </c>
      <c r="E195" s="525"/>
      <c r="F195" s="525"/>
      <c r="G195" s="525"/>
      <c r="H195" s="525"/>
      <c r="I195" s="525"/>
      <c r="J195" s="525"/>
      <c r="K195" s="525"/>
      <c r="L195" s="525"/>
      <c r="M195" s="525"/>
      <c r="N195" s="525"/>
      <c r="O195" s="525"/>
      <c r="P195" s="525"/>
      <c r="Q195" s="525"/>
      <c r="R195" s="525"/>
      <c r="S195" s="525"/>
      <c r="T195" s="525"/>
      <c r="U195" s="525"/>
      <c r="V195" s="525"/>
      <c r="W195" s="525"/>
      <c r="X195" s="525"/>
      <c r="Y195" s="525"/>
      <c r="Z195" s="525"/>
      <c r="AA195" s="525"/>
      <c r="AB195" s="525"/>
      <c r="AC195" s="525"/>
      <c r="AD195" s="525"/>
      <c r="AE195" s="525"/>
      <c r="AF195" s="525"/>
      <c r="AG195" s="525"/>
      <c r="AH195" s="525"/>
      <c r="AI195" s="525"/>
      <c r="AJ195" s="525"/>
      <c r="AK195" s="525"/>
      <c r="AL195" s="525"/>
    </row>
    <row r="196" spans="2:38" ht="15.75" hidden="1" customHeight="1" x14ac:dyDescent="0.25">
      <c r="B196" s="593" t="s">
        <v>221</v>
      </c>
      <c r="C196" s="523" t="s">
        <v>19</v>
      </c>
      <c r="D196" s="594" t="s">
        <v>273</v>
      </c>
      <c r="E196" s="525"/>
      <c r="F196" s="525"/>
      <c r="G196" s="525"/>
      <c r="H196" s="525"/>
      <c r="I196" s="525"/>
      <c r="J196" s="525"/>
      <c r="K196" s="525"/>
      <c r="L196" s="525"/>
      <c r="M196" s="525"/>
      <c r="N196" s="525"/>
      <c r="O196" s="525"/>
      <c r="P196" s="525"/>
      <c r="Q196" s="525"/>
      <c r="R196" s="525"/>
      <c r="S196" s="525"/>
      <c r="T196" s="525"/>
      <c r="U196" s="525"/>
      <c r="V196" s="525"/>
      <c r="W196" s="525"/>
      <c r="X196" s="525"/>
      <c r="Y196" s="525"/>
      <c r="Z196" s="525"/>
      <c r="AA196" s="525"/>
      <c r="AB196" s="525"/>
      <c r="AC196" s="525"/>
      <c r="AD196" s="525"/>
      <c r="AE196" s="525"/>
      <c r="AF196" s="525"/>
      <c r="AG196" s="525"/>
      <c r="AH196" s="525"/>
      <c r="AI196" s="525"/>
      <c r="AJ196" s="525"/>
      <c r="AK196" s="525"/>
      <c r="AL196" s="525"/>
    </row>
    <row r="197" spans="2:38" ht="15.75" hidden="1" customHeight="1" x14ac:dyDescent="0.25">
      <c r="B197" s="591">
        <v>64</v>
      </c>
      <c r="C197" s="527" t="s">
        <v>222</v>
      </c>
      <c r="D197" s="592" t="s">
        <v>2</v>
      </c>
      <c r="E197" s="525"/>
      <c r="F197" s="525"/>
      <c r="G197" s="525"/>
      <c r="H197" s="525"/>
      <c r="I197" s="525"/>
      <c r="J197" s="525"/>
      <c r="K197" s="525"/>
      <c r="L197" s="525"/>
      <c r="M197" s="525"/>
      <c r="N197" s="525"/>
      <c r="O197" s="525"/>
      <c r="P197" s="525"/>
      <c r="Q197" s="525"/>
      <c r="R197" s="525"/>
      <c r="S197" s="525"/>
      <c r="T197" s="525"/>
      <c r="U197" s="525"/>
      <c r="V197" s="525"/>
      <c r="W197" s="525"/>
      <c r="X197" s="525"/>
      <c r="Y197" s="525"/>
      <c r="Z197" s="525"/>
      <c r="AA197" s="525"/>
      <c r="AB197" s="525"/>
      <c r="AC197" s="525"/>
      <c r="AD197" s="525"/>
      <c r="AE197" s="525"/>
      <c r="AF197" s="525"/>
      <c r="AG197" s="525"/>
      <c r="AH197" s="525"/>
      <c r="AI197" s="525"/>
      <c r="AJ197" s="525"/>
      <c r="AK197" s="525"/>
      <c r="AL197" s="525"/>
    </row>
    <row r="198" spans="2:38" ht="15.75" hidden="1" customHeight="1" x14ac:dyDescent="0.25">
      <c r="B198" s="593" t="s">
        <v>223</v>
      </c>
      <c r="C198" s="523" t="s">
        <v>17</v>
      </c>
      <c r="D198" s="594" t="s">
        <v>273</v>
      </c>
      <c r="E198" s="525"/>
      <c r="F198" s="525"/>
      <c r="G198" s="525"/>
      <c r="H198" s="525"/>
      <c r="I198" s="525"/>
      <c r="J198" s="525"/>
      <c r="K198" s="525"/>
      <c r="L198" s="525"/>
      <c r="M198" s="525"/>
      <c r="N198" s="525"/>
      <c r="O198" s="525"/>
      <c r="P198" s="525"/>
      <c r="Q198" s="525"/>
      <c r="R198" s="525"/>
      <c r="S198" s="525"/>
      <c r="T198" s="525"/>
      <c r="U198" s="525"/>
      <c r="V198" s="525"/>
      <c r="W198" s="525"/>
      <c r="X198" s="525"/>
      <c r="Y198" s="525"/>
      <c r="Z198" s="525"/>
      <c r="AA198" s="525"/>
      <c r="AB198" s="525"/>
      <c r="AC198" s="525"/>
      <c r="AD198" s="525"/>
      <c r="AE198" s="525"/>
      <c r="AF198" s="525"/>
      <c r="AG198" s="525"/>
      <c r="AH198" s="525"/>
      <c r="AI198" s="525"/>
      <c r="AJ198" s="525"/>
      <c r="AK198" s="525"/>
      <c r="AL198" s="525"/>
    </row>
    <row r="199" spans="2:38" ht="15.75" hidden="1" customHeight="1" x14ac:dyDescent="0.25">
      <c r="B199" s="593" t="s">
        <v>224</v>
      </c>
      <c r="C199" s="523" t="s">
        <v>19</v>
      </c>
      <c r="D199" s="594" t="s">
        <v>273</v>
      </c>
      <c r="E199" s="525"/>
      <c r="F199" s="525"/>
      <c r="G199" s="525"/>
      <c r="H199" s="525"/>
      <c r="I199" s="525"/>
      <c r="J199" s="525"/>
      <c r="K199" s="525"/>
      <c r="L199" s="525"/>
      <c r="M199" s="525"/>
      <c r="N199" s="525"/>
      <c r="O199" s="525"/>
      <c r="P199" s="525"/>
      <c r="Q199" s="525"/>
      <c r="R199" s="525"/>
      <c r="S199" s="525"/>
      <c r="T199" s="525"/>
      <c r="U199" s="525"/>
      <c r="V199" s="525"/>
      <c r="W199" s="525"/>
      <c r="X199" s="525"/>
      <c r="Y199" s="525"/>
      <c r="Z199" s="525"/>
      <c r="AA199" s="525"/>
      <c r="AB199" s="525"/>
      <c r="AC199" s="525"/>
      <c r="AD199" s="525"/>
      <c r="AE199" s="525"/>
      <c r="AF199" s="525"/>
      <c r="AG199" s="525"/>
      <c r="AH199" s="525"/>
      <c r="AI199" s="525"/>
      <c r="AJ199" s="525"/>
      <c r="AK199" s="525"/>
      <c r="AL199" s="525"/>
    </row>
    <row r="200" spans="2:38" ht="15.75" hidden="1" customHeight="1" x14ac:dyDescent="0.25">
      <c r="B200" s="591">
        <v>65</v>
      </c>
      <c r="C200" s="527" t="s">
        <v>225</v>
      </c>
      <c r="D200" s="592" t="s">
        <v>2</v>
      </c>
      <c r="E200" s="525"/>
      <c r="F200" s="525"/>
      <c r="G200" s="525"/>
      <c r="H200" s="525"/>
      <c r="I200" s="525"/>
      <c r="J200" s="525"/>
      <c r="K200" s="525"/>
      <c r="L200" s="525"/>
      <c r="M200" s="525"/>
      <c r="N200" s="525"/>
      <c r="O200" s="525"/>
      <c r="P200" s="525"/>
      <c r="Q200" s="525"/>
      <c r="R200" s="525"/>
      <c r="S200" s="525"/>
      <c r="T200" s="525"/>
      <c r="U200" s="525"/>
      <c r="V200" s="525"/>
      <c r="W200" s="525"/>
      <c r="X200" s="525"/>
      <c r="Y200" s="525"/>
      <c r="Z200" s="525"/>
      <c r="AA200" s="525"/>
      <c r="AB200" s="525"/>
      <c r="AC200" s="525"/>
      <c r="AD200" s="525"/>
      <c r="AE200" s="525"/>
      <c r="AF200" s="525"/>
      <c r="AG200" s="525"/>
      <c r="AH200" s="525"/>
      <c r="AI200" s="525"/>
      <c r="AJ200" s="525"/>
      <c r="AK200" s="525"/>
      <c r="AL200" s="525"/>
    </row>
    <row r="201" spans="2:38" ht="15.75" hidden="1" customHeight="1" x14ac:dyDescent="0.25">
      <c r="B201" s="593" t="s">
        <v>226</v>
      </c>
      <c r="C201" s="523" t="s">
        <v>17</v>
      </c>
      <c r="D201" s="594" t="s">
        <v>273</v>
      </c>
      <c r="E201" s="525"/>
      <c r="F201" s="525"/>
      <c r="G201" s="525"/>
      <c r="H201" s="525"/>
      <c r="I201" s="525"/>
      <c r="J201" s="525"/>
      <c r="K201" s="525"/>
      <c r="L201" s="525"/>
      <c r="M201" s="525"/>
      <c r="N201" s="525"/>
      <c r="O201" s="525"/>
      <c r="P201" s="525"/>
      <c r="Q201" s="525"/>
      <c r="R201" s="525"/>
      <c r="S201" s="525"/>
      <c r="T201" s="525"/>
      <c r="U201" s="525"/>
      <c r="V201" s="525"/>
      <c r="W201" s="525"/>
      <c r="X201" s="525"/>
      <c r="Y201" s="525"/>
      <c r="Z201" s="525"/>
      <c r="AA201" s="525"/>
      <c r="AB201" s="525"/>
      <c r="AC201" s="525"/>
      <c r="AD201" s="525"/>
      <c r="AE201" s="525"/>
      <c r="AF201" s="525"/>
      <c r="AG201" s="525"/>
      <c r="AH201" s="525"/>
      <c r="AI201" s="525"/>
      <c r="AJ201" s="525"/>
      <c r="AK201" s="525"/>
      <c r="AL201" s="525"/>
    </row>
    <row r="202" spans="2:38" ht="15.75" hidden="1" customHeight="1" x14ac:dyDescent="0.25">
      <c r="B202" s="593" t="s">
        <v>227</v>
      </c>
      <c r="C202" s="523" t="s">
        <v>19</v>
      </c>
      <c r="D202" s="594" t="s">
        <v>273</v>
      </c>
      <c r="E202" s="525"/>
      <c r="F202" s="525"/>
      <c r="G202" s="525"/>
      <c r="H202" s="525"/>
      <c r="I202" s="525"/>
      <c r="J202" s="525"/>
      <c r="K202" s="525"/>
      <c r="L202" s="525"/>
      <c r="M202" s="525"/>
      <c r="N202" s="525"/>
      <c r="O202" s="525"/>
      <c r="P202" s="525"/>
      <c r="Q202" s="525"/>
      <c r="R202" s="525"/>
      <c r="S202" s="525"/>
      <c r="T202" s="525"/>
      <c r="U202" s="525"/>
      <c r="V202" s="525"/>
      <c r="W202" s="525"/>
      <c r="X202" s="525"/>
      <c r="Y202" s="525"/>
      <c r="Z202" s="525"/>
      <c r="AA202" s="525"/>
      <c r="AB202" s="525"/>
      <c r="AC202" s="525"/>
      <c r="AD202" s="525"/>
      <c r="AE202" s="525"/>
      <c r="AF202" s="525"/>
      <c r="AG202" s="525"/>
      <c r="AH202" s="525"/>
      <c r="AI202" s="525"/>
      <c r="AJ202" s="525"/>
      <c r="AK202" s="525"/>
      <c r="AL202" s="525"/>
    </row>
    <row r="203" spans="2:38" ht="15.75" hidden="1" customHeight="1" x14ac:dyDescent="0.25">
      <c r="B203" s="591">
        <v>66</v>
      </c>
      <c r="C203" s="527" t="s">
        <v>228</v>
      </c>
      <c r="D203" s="592" t="s">
        <v>2</v>
      </c>
      <c r="E203" s="525"/>
      <c r="F203" s="525"/>
      <c r="G203" s="525"/>
      <c r="H203" s="525"/>
      <c r="I203" s="525"/>
      <c r="J203" s="525"/>
      <c r="K203" s="525"/>
      <c r="L203" s="525"/>
      <c r="M203" s="525"/>
      <c r="N203" s="525"/>
      <c r="O203" s="525"/>
      <c r="P203" s="525"/>
      <c r="Q203" s="525"/>
      <c r="R203" s="525"/>
      <c r="S203" s="525"/>
      <c r="T203" s="525"/>
      <c r="U203" s="525"/>
      <c r="V203" s="525"/>
      <c r="W203" s="525"/>
      <c r="X203" s="525"/>
      <c r="Y203" s="525"/>
      <c r="Z203" s="525"/>
      <c r="AA203" s="525"/>
      <c r="AB203" s="525"/>
      <c r="AC203" s="525"/>
      <c r="AD203" s="525"/>
      <c r="AE203" s="525"/>
      <c r="AF203" s="525"/>
      <c r="AG203" s="525"/>
      <c r="AH203" s="525"/>
      <c r="AI203" s="525"/>
      <c r="AJ203" s="525"/>
      <c r="AK203" s="525"/>
      <c r="AL203" s="525"/>
    </row>
    <row r="204" spans="2:38" ht="15.75" hidden="1" customHeight="1" x14ac:dyDescent="0.25">
      <c r="B204" s="593" t="s">
        <v>229</v>
      </c>
      <c r="C204" s="523" t="s">
        <v>17</v>
      </c>
      <c r="D204" s="594" t="s">
        <v>273</v>
      </c>
      <c r="E204" s="525"/>
      <c r="F204" s="525"/>
      <c r="G204" s="525"/>
      <c r="H204" s="525"/>
      <c r="I204" s="525"/>
      <c r="J204" s="525"/>
      <c r="K204" s="525"/>
      <c r="L204" s="525"/>
      <c r="M204" s="525"/>
      <c r="N204" s="525"/>
      <c r="O204" s="525"/>
      <c r="P204" s="525"/>
      <c r="Q204" s="525"/>
      <c r="R204" s="525"/>
      <c r="S204" s="525"/>
      <c r="T204" s="525"/>
      <c r="U204" s="525"/>
      <c r="V204" s="525"/>
      <c r="W204" s="525"/>
      <c r="X204" s="525"/>
      <c r="Y204" s="525"/>
      <c r="Z204" s="525"/>
      <c r="AA204" s="525"/>
      <c r="AB204" s="525"/>
      <c r="AC204" s="525"/>
      <c r="AD204" s="525"/>
      <c r="AE204" s="525"/>
      <c r="AF204" s="525"/>
      <c r="AG204" s="525"/>
      <c r="AH204" s="525"/>
      <c r="AI204" s="525"/>
      <c r="AJ204" s="525"/>
      <c r="AK204" s="525"/>
      <c r="AL204" s="525"/>
    </row>
    <row r="205" spans="2:38" ht="15.75" hidden="1" customHeight="1" x14ac:dyDescent="0.25">
      <c r="B205" s="593" t="s">
        <v>230</v>
      </c>
      <c r="C205" s="523" t="s">
        <v>19</v>
      </c>
      <c r="D205" s="594" t="s">
        <v>273</v>
      </c>
      <c r="E205" s="525"/>
      <c r="F205" s="525"/>
      <c r="G205" s="525"/>
      <c r="H205" s="525"/>
      <c r="I205" s="525"/>
      <c r="J205" s="525"/>
      <c r="K205" s="525"/>
      <c r="L205" s="525"/>
      <c r="M205" s="525"/>
      <c r="N205" s="525"/>
      <c r="O205" s="525"/>
      <c r="P205" s="525"/>
      <c r="Q205" s="525"/>
      <c r="R205" s="525"/>
      <c r="S205" s="525"/>
      <c r="T205" s="525"/>
      <c r="U205" s="525"/>
      <c r="V205" s="525"/>
      <c r="W205" s="525"/>
      <c r="X205" s="525"/>
      <c r="Y205" s="525"/>
      <c r="Z205" s="525"/>
      <c r="AA205" s="525"/>
      <c r="AB205" s="525"/>
      <c r="AC205" s="525"/>
      <c r="AD205" s="525"/>
      <c r="AE205" s="525"/>
      <c r="AF205" s="525"/>
      <c r="AG205" s="525"/>
      <c r="AH205" s="525"/>
      <c r="AI205" s="525"/>
      <c r="AJ205" s="525"/>
      <c r="AK205" s="525"/>
      <c r="AL205" s="525"/>
    </row>
    <row r="206" spans="2:38" ht="15.75" hidden="1" customHeight="1" x14ac:dyDescent="0.25">
      <c r="B206" s="591">
        <v>67</v>
      </c>
      <c r="C206" s="527" t="s">
        <v>231</v>
      </c>
      <c r="D206" s="592" t="s">
        <v>2</v>
      </c>
      <c r="E206" s="525"/>
      <c r="F206" s="525"/>
      <c r="G206" s="525"/>
      <c r="H206" s="525"/>
      <c r="I206" s="525"/>
      <c r="J206" s="525"/>
      <c r="K206" s="525"/>
      <c r="L206" s="525"/>
      <c r="M206" s="525"/>
      <c r="N206" s="525"/>
      <c r="O206" s="525"/>
      <c r="P206" s="525"/>
      <c r="Q206" s="525"/>
      <c r="R206" s="525"/>
      <c r="S206" s="525"/>
      <c r="T206" s="525"/>
      <c r="U206" s="525"/>
      <c r="V206" s="525"/>
      <c r="W206" s="525"/>
      <c r="X206" s="525"/>
      <c r="Y206" s="525"/>
      <c r="Z206" s="525"/>
      <c r="AA206" s="525"/>
      <c r="AB206" s="525"/>
      <c r="AC206" s="525"/>
      <c r="AD206" s="525"/>
      <c r="AE206" s="525"/>
      <c r="AF206" s="525"/>
      <c r="AG206" s="525"/>
      <c r="AH206" s="525"/>
      <c r="AI206" s="525"/>
      <c r="AJ206" s="525"/>
      <c r="AK206" s="525"/>
      <c r="AL206" s="525"/>
    </row>
    <row r="207" spans="2:38" ht="15.75" hidden="1" customHeight="1" x14ac:dyDescent="0.25">
      <c r="B207" s="593" t="s">
        <v>232</v>
      </c>
      <c r="C207" s="523" t="s">
        <v>17</v>
      </c>
      <c r="D207" s="594" t="s">
        <v>273</v>
      </c>
      <c r="E207" s="525"/>
      <c r="F207" s="525"/>
      <c r="G207" s="525"/>
      <c r="H207" s="525"/>
      <c r="I207" s="525"/>
      <c r="J207" s="525"/>
      <c r="K207" s="525"/>
      <c r="L207" s="525"/>
      <c r="M207" s="525"/>
      <c r="N207" s="525"/>
      <c r="O207" s="525"/>
      <c r="P207" s="525"/>
      <c r="Q207" s="525"/>
      <c r="R207" s="525"/>
      <c r="S207" s="525"/>
      <c r="T207" s="525"/>
      <c r="U207" s="525"/>
      <c r="V207" s="525"/>
      <c r="W207" s="525"/>
      <c r="X207" s="525"/>
      <c r="Y207" s="525"/>
      <c r="Z207" s="525"/>
      <c r="AA207" s="525"/>
      <c r="AB207" s="525"/>
      <c r="AC207" s="525"/>
      <c r="AD207" s="525"/>
      <c r="AE207" s="525"/>
      <c r="AF207" s="525"/>
      <c r="AG207" s="525"/>
      <c r="AH207" s="525"/>
      <c r="AI207" s="525"/>
      <c r="AJ207" s="525"/>
      <c r="AK207" s="525"/>
      <c r="AL207" s="525"/>
    </row>
    <row r="208" spans="2:38" ht="15.75" hidden="1" customHeight="1" x14ac:dyDescent="0.25">
      <c r="B208" s="593" t="s">
        <v>233</v>
      </c>
      <c r="C208" s="523" t="s">
        <v>19</v>
      </c>
      <c r="D208" s="594" t="s">
        <v>273</v>
      </c>
      <c r="E208" s="525"/>
      <c r="F208" s="525"/>
      <c r="G208" s="525"/>
      <c r="H208" s="525"/>
      <c r="I208" s="525"/>
      <c r="J208" s="525"/>
      <c r="K208" s="525"/>
      <c r="L208" s="525"/>
      <c r="M208" s="525"/>
      <c r="N208" s="525"/>
      <c r="O208" s="525"/>
      <c r="P208" s="525"/>
      <c r="Q208" s="525"/>
      <c r="R208" s="525"/>
      <c r="S208" s="525"/>
      <c r="T208" s="525"/>
      <c r="U208" s="525"/>
      <c r="V208" s="525"/>
      <c r="W208" s="525"/>
      <c r="X208" s="525"/>
      <c r="Y208" s="525"/>
      <c r="Z208" s="525"/>
      <c r="AA208" s="525"/>
      <c r="AB208" s="525"/>
      <c r="AC208" s="525"/>
      <c r="AD208" s="525"/>
      <c r="AE208" s="525"/>
      <c r="AF208" s="525"/>
      <c r="AG208" s="525"/>
      <c r="AH208" s="525"/>
      <c r="AI208" s="525"/>
      <c r="AJ208" s="525"/>
      <c r="AK208" s="525"/>
      <c r="AL208" s="525"/>
    </row>
    <row r="209" spans="2:38" ht="15.75" hidden="1" customHeight="1" x14ac:dyDescent="0.25">
      <c r="B209" s="595" t="s">
        <v>234</v>
      </c>
      <c r="C209" s="527" t="s">
        <v>235</v>
      </c>
      <c r="D209" s="592" t="s">
        <v>2</v>
      </c>
      <c r="E209" s="525"/>
      <c r="F209" s="525"/>
      <c r="G209" s="525"/>
      <c r="H209" s="525"/>
      <c r="I209" s="525"/>
      <c r="J209" s="525"/>
      <c r="K209" s="525"/>
      <c r="L209" s="525"/>
      <c r="M209" s="525"/>
      <c r="N209" s="525"/>
      <c r="O209" s="525"/>
      <c r="P209" s="525"/>
      <c r="Q209" s="525"/>
      <c r="R209" s="525"/>
      <c r="S209" s="525"/>
      <c r="T209" s="525"/>
      <c r="U209" s="525"/>
      <c r="V209" s="525"/>
      <c r="W209" s="525"/>
      <c r="X209" s="525"/>
      <c r="Y209" s="525"/>
      <c r="Z209" s="525"/>
      <c r="AA209" s="525"/>
      <c r="AB209" s="525"/>
      <c r="AC209" s="525"/>
      <c r="AD209" s="525"/>
      <c r="AE209" s="525"/>
      <c r="AF209" s="525"/>
      <c r="AG209" s="525"/>
      <c r="AH209" s="525"/>
      <c r="AI209" s="525"/>
      <c r="AJ209" s="525"/>
      <c r="AK209" s="525"/>
      <c r="AL209" s="525"/>
    </row>
    <row r="210" spans="2:38" ht="15.75" hidden="1" customHeight="1" x14ac:dyDescent="0.25">
      <c r="B210" s="593" t="s">
        <v>236</v>
      </c>
      <c r="C210" s="523" t="s">
        <v>17</v>
      </c>
      <c r="D210" s="594" t="s">
        <v>273</v>
      </c>
      <c r="E210" s="525"/>
      <c r="F210" s="525"/>
      <c r="G210" s="525"/>
      <c r="H210" s="525"/>
      <c r="I210" s="525"/>
      <c r="J210" s="525"/>
      <c r="K210" s="525"/>
      <c r="L210" s="525"/>
      <c r="M210" s="525"/>
      <c r="N210" s="525"/>
      <c r="O210" s="525"/>
      <c r="P210" s="525"/>
      <c r="Q210" s="525"/>
      <c r="R210" s="525"/>
      <c r="S210" s="525"/>
      <c r="T210" s="525"/>
      <c r="U210" s="525"/>
      <c r="V210" s="525"/>
      <c r="W210" s="525"/>
      <c r="X210" s="525"/>
      <c r="Y210" s="525"/>
      <c r="Z210" s="525"/>
      <c r="AA210" s="525"/>
      <c r="AB210" s="525"/>
      <c r="AC210" s="525"/>
      <c r="AD210" s="525"/>
      <c r="AE210" s="525"/>
      <c r="AF210" s="525"/>
      <c r="AG210" s="525"/>
      <c r="AH210" s="525"/>
      <c r="AI210" s="525"/>
      <c r="AJ210" s="525"/>
      <c r="AK210" s="525"/>
      <c r="AL210" s="525"/>
    </row>
    <row r="211" spans="2:38" ht="15.75" hidden="1" customHeight="1" x14ac:dyDescent="0.25">
      <c r="B211" s="593" t="s">
        <v>237</v>
      </c>
      <c r="C211" s="523" t="s">
        <v>19</v>
      </c>
      <c r="D211" s="594" t="s">
        <v>273</v>
      </c>
      <c r="E211" s="525"/>
      <c r="F211" s="525"/>
      <c r="G211" s="525"/>
      <c r="H211" s="525"/>
      <c r="I211" s="525"/>
      <c r="J211" s="525"/>
      <c r="K211" s="525"/>
      <c r="L211" s="525"/>
      <c r="M211" s="525"/>
      <c r="N211" s="525"/>
      <c r="O211" s="525"/>
      <c r="P211" s="525"/>
      <c r="Q211" s="525"/>
      <c r="R211" s="525"/>
      <c r="S211" s="525"/>
      <c r="T211" s="525"/>
      <c r="U211" s="525"/>
      <c r="V211" s="525"/>
      <c r="W211" s="525"/>
      <c r="X211" s="525"/>
      <c r="Y211" s="525"/>
      <c r="Z211" s="525"/>
      <c r="AA211" s="525"/>
      <c r="AB211" s="525"/>
      <c r="AC211" s="525"/>
      <c r="AD211" s="525"/>
      <c r="AE211" s="525"/>
      <c r="AF211" s="525"/>
      <c r="AG211" s="525"/>
      <c r="AH211" s="525"/>
      <c r="AI211" s="525"/>
      <c r="AJ211" s="525"/>
      <c r="AK211" s="525"/>
      <c r="AL211" s="525"/>
    </row>
    <row r="212" spans="2:38" ht="15.75" hidden="1" customHeight="1" x14ac:dyDescent="0.25">
      <c r="B212" s="591">
        <v>69</v>
      </c>
      <c r="C212" s="527" t="s">
        <v>238</v>
      </c>
      <c r="D212" s="592" t="s">
        <v>2</v>
      </c>
      <c r="E212" s="525"/>
      <c r="F212" s="525"/>
      <c r="G212" s="525"/>
      <c r="H212" s="525"/>
      <c r="I212" s="525"/>
      <c r="J212" s="525"/>
      <c r="K212" s="525"/>
      <c r="L212" s="525"/>
      <c r="M212" s="525"/>
      <c r="N212" s="525"/>
      <c r="O212" s="525"/>
      <c r="P212" s="525"/>
      <c r="Q212" s="525"/>
      <c r="R212" s="525"/>
      <c r="S212" s="525"/>
      <c r="T212" s="525"/>
      <c r="U212" s="525"/>
      <c r="V212" s="525"/>
      <c r="W212" s="525"/>
      <c r="X212" s="525"/>
      <c r="Y212" s="525"/>
      <c r="Z212" s="525"/>
      <c r="AA212" s="525"/>
      <c r="AB212" s="525"/>
      <c r="AC212" s="525"/>
      <c r="AD212" s="525"/>
      <c r="AE212" s="525"/>
      <c r="AF212" s="525"/>
      <c r="AG212" s="525"/>
      <c r="AH212" s="525"/>
      <c r="AI212" s="525"/>
      <c r="AJ212" s="525"/>
      <c r="AK212" s="525"/>
      <c r="AL212" s="525"/>
    </row>
    <row r="213" spans="2:38" ht="15.75" hidden="1" customHeight="1" x14ac:dyDescent="0.25">
      <c r="B213" s="593" t="s">
        <v>239</v>
      </c>
      <c r="C213" s="523" t="s">
        <v>17</v>
      </c>
      <c r="D213" s="594" t="s">
        <v>273</v>
      </c>
      <c r="E213" s="525"/>
      <c r="F213" s="525"/>
      <c r="G213" s="525"/>
      <c r="H213" s="525"/>
      <c r="I213" s="525"/>
      <c r="J213" s="525"/>
      <c r="K213" s="525"/>
      <c r="L213" s="525"/>
      <c r="M213" s="525"/>
      <c r="N213" s="525"/>
      <c r="O213" s="525"/>
      <c r="P213" s="525"/>
      <c r="Q213" s="525"/>
      <c r="R213" s="525"/>
      <c r="S213" s="525"/>
      <c r="T213" s="525"/>
      <c r="U213" s="525"/>
      <c r="V213" s="525"/>
      <c r="W213" s="525"/>
      <c r="X213" s="525"/>
      <c r="Y213" s="525"/>
      <c r="Z213" s="525"/>
      <c r="AA213" s="525"/>
      <c r="AB213" s="525"/>
      <c r="AC213" s="525"/>
      <c r="AD213" s="525"/>
      <c r="AE213" s="525"/>
      <c r="AF213" s="525"/>
      <c r="AG213" s="525"/>
      <c r="AH213" s="525"/>
      <c r="AI213" s="525"/>
      <c r="AJ213" s="525"/>
      <c r="AK213" s="525"/>
      <c r="AL213" s="525"/>
    </row>
    <row r="214" spans="2:38" ht="15.75" hidden="1" customHeight="1" x14ac:dyDescent="0.25">
      <c r="B214" s="593" t="s">
        <v>240</v>
      </c>
      <c r="C214" s="523" t="s">
        <v>19</v>
      </c>
      <c r="D214" s="594" t="s">
        <v>273</v>
      </c>
      <c r="E214" s="525"/>
      <c r="F214" s="525"/>
      <c r="G214" s="525"/>
      <c r="H214" s="525"/>
      <c r="I214" s="525"/>
      <c r="J214" s="525"/>
      <c r="K214" s="525"/>
      <c r="L214" s="525"/>
      <c r="M214" s="525"/>
      <c r="N214" s="525"/>
      <c r="O214" s="525"/>
      <c r="P214" s="525"/>
      <c r="Q214" s="525"/>
      <c r="R214" s="525"/>
      <c r="S214" s="525"/>
      <c r="T214" s="525"/>
      <c r="U214" s="525"/>
      <c r="V214" s="525"/>
      <c r="W214" s="525"/>
      <c r="X214" s="525"/>
      <c r="Y214" s="525"/>
      <c r="Z214" s="525"/>
      <c r="AA214" s="525"/>
      <c r="AB214" s="525"/>
      <c r="AC214" s="525"/>
      <c r="AD214" s="525"/>
      <c r="AE214" s="525"/>
      <c r="AF214" s="525"/>
      <c r="AG214" s="525"/>
      <c r="AH214" s="525"/>
      <c r="AI214" s="525"/>
      <c r="AJ214" s="525"/>
      <c r="AK214" s="525"/>
      <c r="AL214" s="525"/>
    </row>
    <row r="215" spans="2:38" ht="15.75" hidden="1" customHeight="1" x14ac:dyDescent="0.25">
      <c r="B215" s="595" t="s">
        <v>241</v>
      </c>
      <c r="C215" s="527" t="s">
        <v>242</v>
      </c>
      <c r="D215" s="592" t="s">
        <v>2</v>
      </c>
      <c r="E215" s="525"/>
      <c r="F215" s="525"/>
      <c r="G215" s="525"/>
      <c r="H215" s="525"/>
      <c r="I215" s="525"/>
      <c r="J215" s="525"/>
      <c r="K215" s="525"/>
      <c r="L215" s="525"/>
      <c r="M215" s="525"/>
      <c r="N215" s="525"/>
      <c r="O215" s="525"/>
      <c r="P215" s="525"/>
      <c r="Q215" s="525"/>
      <c r="R215" s="525"/>
      <c r="S215" s="525"/>
      <c r="T215" s="525"/>
      <c r="U215" s="525"/>
      <c r="V215" s="525"/>
      <c r="W215" s="525"/>
      <c r="X215" s="525"/>
      <c r="Y215" s="525"/>
      <c r="Z215" s="525"/>
      <c r="AA215" s="525"/>
      <c r="AB215" s="525"/>
      <c r="AC215" s="525"/>
      <c r="AD215" s="525"/>
      <c r="AE215" s="525"/>
      <c r="AF215" s="525"/>
      <c r="AG215" s="525"/>
      <c r="AH215" s="525"/>
      <c r="AI215" s="525"/>
      <c r="AJ215" s="525"/>
      <c r="AK215" s="525"/>
      <c r="AL215" s="525"/>
    </row>
    <row r="216" spans="2:38" ht="15.75" hidden="1" customHeight="1" x14ac:dyDescent="0.25">
      <c r="B216" s="593" t="s">
        <v>243</v>
      </c>
      <c r="C216" s="523" t="s">
        <v>17</v>
      </c>
      <c r="D216" s="594" t="s">
        <v>273</v>
      </c>
      <c r="E216" s="525"/>
      <c r="F216" s="525"/>
      <c r="G216" s="525"/>
      <c r="H216" s="525"/>
      <c r="I216" s="525"/>
      <c r="J216" s="525"/>
      <c r="K216" s="525"/>
      <c r="L216" s="525"/>
      <c r="M216" s="525"/>
      <c r="N216" s="525"/>
      <c r="O216" s="525"/>
      <c r="P216" s="525"/>
      <c r="Q216" s="525"/>
      <c r="R216" s="525"/>
      <c r="S216" s="525"/>
      <c r="T216" s="525"/>
      <c r="U216" s="525"/>
      <c r="V216" s="525"/>
      <c r="W216" s="525"/>
      <c r="X216" s="525"/>
      <c r="Y216" s="525"/>
      <c r="Z216" s="525"/>
      <c r="AA216" s="525"/>
      <c r="AB216" s="525"/>
      <c r="AC216" s="525"/>
      <c r="AD216" s="525"/>
      <c r="AE216" s="525"/>
      <c r="AF216" s="525"/>
      <c r="AG216" s="525"/>
      <c r="AH216" s="525"/>
      <c r="AI216" s="525"/>
      <c r="AJ216" s="525"/>
      <c r="AK216" s="525"/>
      <c r="AL216" s="525"/>
    </row>
    <row r="217" spans="2:38" ht="15.75" hidden="1" customHeight="1" x14ac:dyDescent="0.25">
      <c r="B217" s="593" t="s">
        <v>244</v>
      </c>
      <c r="C217" s="523" t="s">
        <v>19</v>
      </c>
      <c r="D217" s="594" t="s">
        <v>273</v>
      </c>
      <c r="E217" s="525"/>
      <c r="F217" s="525"/>
      <c r="G217" s="525"/>
      <c r="H217" s="525"/>
      <c r="I217" s="525"/>
      <c r="J217" s="525"/>
      <c r="K217" s="525"/>
      <c r="L217" s="525"/>
      <c r="M217" s="525"/>
      <c r="N217" s="525"/>
      <c r="O217" s="525"/>
      <c r="P217" s="525"/>
      <c r="Q217" s="525"/>
      <c r="R217" s="525"/>
      <c r="S217" s="525"/>
      <c r="T217" s="525"/>
      <c r="U217" s="525"/>
      <c r="V217" s="525"/>
      <c r="W217" s="525"/>
      <c r="X217" s="525"/>
      <c r="Y217" s="525"/>
      <c r="Z217" s="525"/>
      <c r="AA217" s="525"/>
      <c r="AB217" s="525"/>
      <c r="AC217" s="525"/>
      <c r="AD217" s="525"/>
      <c r="AE217" s="525"/>
      <c r="AF217" s="525"/>
      <c r="AG217" s="525"/>
      <c r="AH217" s="525"/>
      <c r="AI217" s="525"/>
      <c r="AJ217" s="525"/>
      <c r="AK217" s="525"/>
      <c r="AL217" s="525"/>
    </row>
    <row r="218" spans="2:38" ht="15.75" hidden="1" customHeight="1" x14ac:dyDescent="0.25">
      <c r="B218" s="591">
        <v>71</v>
      </c>
      <c r="C218" s="527" t="s">
        <v>245</v>
      </c>
      <c r="D218" s="592" t="s">
        <v>2</v>
      </c>
      <c r="E218" s="525"/>
      <c r="F218" s="525"/>
      <c r="G218" s="525"/>
      <c r="H218" s="525"/>
      <c r="I218" s="525"/>
      <c r="J218" s="525"/>
      <c r="K218" s="525"/>
      <c r="L218" s="525"/>
      <c r="M218" s="525"/>
      <c r="N218" s="525"/>
      <c r="O218" s="525"/>
      <c r="P218" s="525"/>
      <c r="Q218" s="525"/>
      <c r="R218" s="525"/>
      <c r="S218" s="525"/>
      <c r="T218" s="525"/>
      <c r="U218" s="525"/>
      <c r="V218" s="525"/>
      <c r="W218" s="525"/>
      <c r="X218" s="525"/>
      <c r="Y218" s="525"/>
      <c r="Z218" s="525"/>
      <c r="AA218" s="525"/>
      <c r="AB218" s="525"/>
      <c r="AC218" s="525"/>
      <c r="AD218" s="525"/>
      <c r="AE218" s="525"/>
      <c r="AF218" s="525"/>
      <c r="AG218" s="525"/>
      <c r="AH218" s="525"/>
      <c r="AI218" s="525"/>
      <c r="AJ218" s="525"/>
      <c r="AK218" s="525"/>
      <c r="AL218" s="525"/>
    </row>
    <row r="219" spans="2:38" ht="15.75" hidden="1" customHeight="1" x14ac:dyDescent="0.25">
      <c r="B219" s="593" t="s">
        <v>246</v>
      </c>
      <c r="C219" s="523" t="s">
        <v>17</v>
      </c>
      <c r="D219" s="594" t="s">
        <v>273</v>
      </c>
      <c r="E219" s="525"/>
      <c r="F219" s="525"/>
      <c r="G219" s="525"/>
      <c r="H219" s="525"/>
      <c r="I219" s="525"/>
      <c r="J219" s="525"/>
      <c r="K219" s="525"/>
      <c r="L219" s="525"/>
      <c r="M219" s="525"/>
      <c r="N219" s="525"/>
      <c r="O219" s="525"/>
      <c r="P219" s="525"/>
      <c r="Q219" s="525"/>
      <c r="R219" s="525"/>
      <c r="S219" s="525"/>
      <c r="T219" s="525"/>
      <c r="U219" s="525"/>
      <c r="V219" s="525"/>
      <c r="W219" s="525"/>
      <c r="X219" s="525"/>
      <c r="Y219" s="525"/>
      <c r="Z219" s="525"/>
      <c r="AA219" s="525"/>
      <c r="AB219" s="525"/>
      <c r="AC219" s="525"/>
      <c r="AD219" s="525"/>
      <c r="AE219" s="525"/>
      <c r="AF219" s="525"/>
      <c r="AG219" s="525"/>
      <c r="AH219" s="525"/>
      <c r="AI219" s="525"/>
      <c r="AJ219" s="525"/>
      <c r="AK219" s="525"/>
      <c r="AL219" s="525"/>
    </row>
    <row r="220" spans="2:38" ht="15.75" hidden="1" customHeight="1" x14ac:dyDescent="0.25">
      <c r="B220" s="593" t="s">
        <v>247</v>
      </c>
      <c r="C220" s="523" t="s">
        <v>19</v>
      </c>
      <c r="D220" s="594" t="s">
        <v>273</v>
      </c>
      <c r="E220" s="525"/>
      <c r="F220" s="525"/>
      <c r="G220" s="525"/>
      <c r="H220" s="525"/>
      <c r="I220" s="525"/>
      <c r="J220" s="525"/>
      <c r="K220" s="525"/>
      <c r="L220" s="525"/>
      <c r="M220" s="525"/>
      <c r="N220" s="525"/>
      <c r="O220" s="525"/>
      <c r="P220" s="525"/>
      <c r="Q220" s="525"/>
      <c r="R220" s="525"/>
      <c r="S220" s="525"/>
      <c r="T220" s="525"/>
      <c r="U220" s="525"/>
      <c r="V220" s="525"/>
      <c r="W220" s="525"/>
      <c r="X220" s="525"/>
      <c r="Y220" s="525"/>
      <c r="Z220" s="525"/>
      <c r="AA220" s="525"/>
      <c r="AB220" s="525"/>
      <c r="AC220" s="525"/>
      <c r="AD220" s="525"/>
      <c r="AE220" s="525"/>
      <c r="AF220" s="525"/>
      <c r="AG220" s="525"/>
      <c r="AH220" s="525"/>
      <c r="AI220" s="525"/>
      <c r="AJ220" s="525"/>
      <c r="AK220" s="525"/>
      <c r="AL220" s="525"/>
    </row>
    <row r="221" spans="2:38" ht="15.75" hidden="1" customHeight="1" x14ac:dyDescent="0.25">
      <c r="B221" s="591">
        <v>72</v>
      </c>
      <c r="C221" s="527" t="s">
        <v>248</v>
      </c>
      <c r="D221" s="592" t="s">
        <v>2</v>
      </c>
      <c r="E221" s="525"/>
      <c r="F221" s="525"/>
      <c r="G221" s="525"/>
      <c r="H221" s="525"/>
      <c r="I221" s="525"/>
      <c r="J221" s="525"/>
      <c r="K221" s="525"/>
      <c r="L221" s="525"/>
      <c r="M221" s="525"/>
      <c r="N221" s="525"/>
      <c r="O221" s="525"/>
      <c r="P221" s="525"/>
      <c r="Q221" s="525"/>
      <c r="R221" s="525"/>
      <c r="S221" s="525"/>
      <c r="T221" s="525"/>
      <c r="U221" s="525"/>
      <c r="V221" s="525"/>
      <c r="W221" s="525"/>
      <c r="X221" s="525"/>
      <c r="Y221" s="525"/>
      <c r="Z221" s="525"/>
      <c r="AA221" s="525"/>
      <c r="AB221" s="525"/>
      <c r="AC221" s="525"/>
      <c r="AD221" s="525"/>
      <c r="AE221" s="525"/>
      <c r="AF221" s="525"/>
      <c r="AG221" s="525"/>
      <c r="AH221" s="525"/>
      <c r="AI221" s="525"/>
      <c r="AJ221" s="525"/>
      <c r="AK221" s="525"/>
      <c r="AL221" s="525"/>
    </row>
    <row r="222" spans="2:38" ht="15.75" hidden="1" customHeight="1" x14ac:dyDescent="0.25">
      <c r="B222" s="593" t="s">
        <v>249</v>
      </c>
      <c r="C222" s="523" t="s">
        <v>17</v>
      </c>
      <c r="D222" s="594" t="s">
        <v>273</v>
      </c>
      <c r="E222" s="525"/>
      <c r="F222" s="525"/>
      <c r="G222" s="525"/>
      <c r="H222" s="525"/>
      <c r="I222" s="525"/>
      <c r="J222" s="525"/>
      <c r="K222" s="525"/>
      <c r="L222" s="525"/>
      <c r="M222" s="525"/>
      <c r="N222" s="525"/>
      <c r="O222" s="525"/>
      <c r="P222" s="525"/>
      <c r="Q222" s="525"/>
      <c r="R222" s="525"/>
      <c r="S222" s="525"/>
      <c r="T222" s="525"/>
      <c r="U222" s="525"/>
      <c r="V222" s="525"/>
      <c r="W222" s="525"/>
      <c r="X222" s="525"/>
      <c r="Y222" s="525"/>
      <c r="Z222" s="525"/>
      <c r="AA222" s="525"/>
      <c r="AB222" s="525"/>
      <c r="AC222" s="525"/>
      <c r="AD222" s="525"/>
      <c r="AE222" s="525"/>
      <c r="AF222" s="525"/>
      <c r="AG222" s="525"/>
      <c r="AH222" s="525"/>
      <c r="AI222" s="525"/>
      <c r="AJ222" s="525"/>
      <c r="AK222" s="525"/>
      <c r="AL222" s="525"/>
    </row>
    <row r="223" spans="2:38" ht="15.75" hidden="1" customHeight="1" x14ac:dyDescent="0.25">
      <c r="B223" s="593" t="s">
        <v>250</v>
      </c>
      <c r="C223" s="523" t="s">
        <v>19</v>
      </c>
      <c r="D223" s="594" t="s">
        <v>273</v>
      </c>
      <c r="E223" s="525"/>
      <c r="F223" s="525"/>
      <c r="G223" s="525"/>
      <c r="H223" s="525"/>
      <c r="I223" s="525"/>
      <c r="J223" s="525"/>
      <c r="K223" s="525"/>
      <c r="L223" s="525"/>
      <c r="M223" s="525"/>
      <c r="N223" s="525"/>
      <c r="O223" s="525"/>
      <c r="P223" s="525"/>
      <c r="Q223" s="525"/>
      <c r="R223" s="525"/>
      <c r="S223" s="525"/>
      <c r="T223" s="525"/>
      <c r="U223" s="525"/>
      <c r="V223" s="525"/>
      <c r="W223" s="525"/>
      <c r="X223" s="525"/>
      <c r="Y223" s="525"/>
      <c r="Z223" s="525"/>
      <c r="AA223" s="525"/>
      <c r="AB223" s="525"/>
      <c r="AC223" s="525"/>
      <c r="AD223" s="525"/>
      <c r="AE223" s="525"/>
      <c r="AF223" s="525"/>
      <c r="AG223" s="525"/>
      <c r="AH223" s="525"/>
      <c r="AI223" s="525"/>
      <c r="AJ223" s="525"/>
      <c r="AK223" s="525"/>
      <c r="AL223" s="525"/>
    </row>
    <row r="224" spans="2:38" ht="15.75" hidden="1" customHeight="1" x14ac:dyDescent="0.25">
      <c r="B224" s="595" t="s">
        <v>251</v>
      </c>
      <c r="C224" s="527" t="s">
        <v>252</v>
      </c>
      <c r="D224" s="592" t="s">
        <v>2</v>
      </c>
      <c r="E224" s="525"/>
      <c r="F224" s="525"/>
      <c r="G224" s="525"/>
      <c r="H224" s="525"/>
      <c r="I224" s="525"/>
      <c r="J224" s="525"/>
      <c r="K224" s="525"/>
      <c r="L224" s="525"/>
      <c r="M224" s="525"/>
      <c r="N224" s="525"/>
      <c r="O224" s="525"/>
      <c r="P224" s="525"/>
      <c r="Q224" s="525"/>
      <c r="R224" s="525"/>
      <c r="S224" s="525"/>
      <c r="T224" s="525"/>
      <c r="U224" s="525"/>
      <c r="V224" s="525"/>
      <c r="W224" s="525"/>
      <c r="X224" s="525"/>
      <c r="Y224" s="525"/>
      <c r="Z224" s="525"/>
      <c r="AA224" s="525"/>
      <c r="AB224" s="525"/>
      <c r="AC224" s="525"/>
      <c r="AD224" s="525"/>
      <c r="AE224" s="525"/>
      <c r="AF224" s="525"/>
      <c r="AG224" s="525"/>
      <c r="AH224" s="525"/>
      <c r="AI224" s="525"/>
      <c r="AJ224" s="525"/>
      <c r="AK224" s="525"/>
      <c r="AL224" s="525"/>
    </row>
    <row r="225" spans="2:38" ht="15.75" hidden="1" customHeight="1" x14ac:dyDescent="0.25">
      <c r="B225" s="593" t="s">
        <v>253</v>
      </c>
      <c r="C225" s="523" t="s">
        <v>17</v>
      </c>
      <c r="D225" s="594" t="s">
        <v>273</v>
      </c>
      <c r="E225" s="525"/>
      <c r="F225" s="525"/>
      <c r="G225" s="525"/>
      <c r="H225" s="525"/>
      <c r="I225" s="525"/>
      <c r="J225" s="525"/>
      <c r="K225" s="525"/>
      <c r="L225" s="525"/>
      <c r="M225" s="525"/>
      <c r="N225" s="525"/>
      <c r="O225" s="525"/>
      <c r="P225" s="525"/>
      <c r="Q225" s="525"/>
      <c r="R225" s="525"/>
      <c r="S225" s="525"/>
      <c r="T225" s="525"/>
      <c r="U225" s="525"/>
      <c r="V225" s="525"/>
      <c r="W225" s="525"/>
      <c r="X225" s="525"/>
      <c r="Y225" s="525"/>
      <c r="Z225" s="525"/>
      <c r="AA225" s="525"/>
      <c r="AB225" s="525"/>
      <c r="AC225" s="525"/>
      <c r="AD225" s="525"/>
      <c r="AE225" s="525"/>
      <c r="AF225" s="525"/>
      <c r="AG225" s="525"/>
      <c r="AH225" s="525"/>
      <c r="AI225" s="525"/>
      <c r="AJ225" s="525"/>
      <c r="AK225" s="525"/>
      <c r="AL225" s="525"/>
    </row>
    <row r="226" spans="2:38" ht="15.75" hidden="1" customHeight="1" x14ac:dyDescent="0.25">
      <c r="B226" s="593" t="s">
        <v>254</v>
      </c>
      <c r="C226" s="523" t="s">
        <v>19</v>
      </c>
      <c r="D226" s="594" t="s">
        <v>273</v>
      </c>
      <c r="E226" s="525"/>
      <c r="F226" s="525"/>
      <c r="G226" s="525"/>
      <c r="H226" s="525"/>
      <c r="I226" s="525"/>
      <c r="J226" s="525"/>
      <c r="K226" s="525"/>
      <c r="L226" s="525"/>
      <c r="M226" s="525"/>
      <c r="N226" s="525"/>
      <c r="O226" s="525"/>
      <c r="P226" s="525"/>
      <c r="Q226" s="525"/>
      <c r="R226" s="525"/>
      <c r="S226" s="525"/>
      <c r="T226" s="525"/>
      <c r="U226" s="525"/>
      <c r="V226" s="525"/>
      <c r="W226" s="525"/>
      <c r="X226" s="525"/>
      <c r="Y226" s="525"/>
      <c r="Z226" s="525"/>
      <c r="AA226" s="525"/>
      <c r="AB226" s="525"/>
      <c r="AC226" s="525"/>
      <c r="AD226" s="525"/>
      <c r="AE226" s="525"/>
      <c r="AF226" s="525"/>
      <c r="AG226" s="525"/>
      <c r="AH226" s="525"/>
      <c r="AI226" s="525"/>
      <c r="AJ226" s="525"/>
      <c r="AK226" s="525"/>
      <c r="AL226" s="525"/>
    </row>
    <row r="227" spans="2:38" ht="15.75" hidden="1" customHeight="1" x14ac:dyDescent="0.25">
      <c r="B227" s="591">
        <v>74</v>
      </c>
      <c r="C227" s="527" t="s">
        <v>255</v>
      </c>
      <c r="D227" s="592" t="s">
        <v>2</v>
      </c>
      <c r="E227" s="525"/>
      <c r="F227" s="525"/>
      <c r="G227" s="525"/>
      <c r="H227" s="525"/>
      <c r="I227" s="525"/>
      <c r="J227" s="525"/>
      <c r="K227" s="525"/>
      <c r="L227" s="525"/>
      <c r="M227" s="525"/>
      <c r="N227" s="525"/>
      <c r="O227" s="525"/>
      <c r="P227" s="525"/>
      <c r="Q227" s="525"/>
      <c r="R227" s="525"/>
      <c r="S227" s="525"/>
      <c r="T227" s="525"/>
      <c r="U227" s="525"/>
      <c r="V227" s="525"/>
      <c r="W227" s="525"/>
      <c r="X227" s="525"/>
      <c r="Y227" s="525"/>
      <c r="Z227" s="525"/>
      <c r="AA227" s="525"/>
      <c r="AB227" s="525"/>
      <c r="AC227" s="525"/>
      <c r="AD227" s="525"/>
      <c r="AE227" s="525"/>
      <c r="AF227" s="525"/>
      <c r="AG227" s="525"/>
      <c r="AH227" s="525"/>
      <c r="AI227" s="525"/>
      <c r="AJ227" s="525"/>
      <c r="AK227" s="525"/>
      <c r="AL227" s="525"/>
    </row>
    <row r="228" spans="2:38" ht="15.75" hidden="1" customHeight="1" x14ac:dyDescent="0.25">
      <c r="B228" s="593" t="s">
        <v>256</v>
      </c>
      <c r="C228" s="523" t="s">
        <v>17</v>
      </c>
      <c r="D228" s="594" t="s">
        <v>273</v>
      </c>
      <c r="E228" s="525"/>
      <c r="F228" s="525"/>
      <c r="G228" s="525"/>
      <c r="H228" s="525"/>
      <c r="I228" s="525"/>
      <c r="J228" s="525"/>
      <c r="K228" s="525"/>
      <c r="L228" s="525"/>
      <c r="M228" s="525"/>
      <c r="N228" s="525"/>
      <c r="O228" s="525"/>
      <c r="P228" s="525"/>
      <c r="Q228" s="525"/>
      <c r="R228" s="525"/>
      <c r="S228" s="525"/>
      <c r="T228" s="525"/>
      <c r="U228" s="525"/>
      <c r="V228" s="525"/>
      <c r="W228" s="525"/>
      <c r="X228" s="525"/>
      <c r="Y228" s="525"/>
      <c r="Z228" s="525"/>
      <c r="AA228" s="525"/>
      <c r="AB228" s="525"/>
      <c r="AC228" s="525"/>
      <c r="AD228" s="525"/>
      <c r="AE228" s="525"/>
      <c r="AF228" s="525"/>
      <c r="AG228" s="525"/>
      <c r="AH228" s="525"/>
      <c r="AI228" s="525"/>
      <c r="AJ228" s="525"/>
      <c r="AK228" s="525"/>
      <c r="AL228" s="525"/>
    </row>
    <row r="229" spans="2:38" ht="15.75" hidden="1" customHeight="1" x14ac:dyDescent="0.25">
      <c r="B229" s="593" t="s">
        <v>257</v>
      </c>
      <c r="C229" s="523" t="s">
        <v>19</v>
      </c>
      <c r="D229" s="594" t="s">
        <v>273</v>
      </c>
      <c r="E229" s="525"/>
      <c r="F229" s="525"/>
      <c r="G229" s="525"/>
      <c r="H229" s="525"/>
      <c r="I229" s="525"/>
      <c r="J229" s="525"/>
      <c r="K229" s="525"/>
      <c r="L229" s="525"/>
      <c r="M229" s="525"/>
      <c r="N229" s="525"/>
      <c r="O229" s="525"/>
      <c r="P229" s="525"/>
      <c r="Q229" s="525"/>
      <c r="R229" s="525"/>
      <c r="S229" s="525"/>
      <c r="T229" s="525"/>
      <c r="U229" s="525"/>
      <c r="V229" s="525"/>
      <c r="W229" s="525"/>
      <c r="X229" s="525"/>
      <c r="Y229" s="525"/>
      <c r="Z229" s="525"/>
      <c r="AA229" s="525"/>
      <c r="AB229" s="525"/>
      <c r="AC229" s="525"/>
      <c r="AD229" s="525"/>
      <c r="AE229" s="525"/>
      <c r="AF229" s="525"/>
      <c r="AG229" s="525"/>
      <c r="AH229" s="525"/>
      <c r="AI229" s="525"/>
      <c r="AJ229" s="525"/>
      <c r="AK229" s="525"/>
      <c r="AL229" s="525"/>
    </row>
    <row r="230" spans="2:38" ht="15.75" hidden="1" customHeight="1" x14ac:dyDescent="0.25">
      <c r="B230" s="591">
        <v>75</v>
      </c>
      <c r="C230" s="527" t="s">
        <v>258</v>
      </c>
      <c r="D230" s="592" t="s">
        <v>2</v>
      </c>
      <c r="E230" s="525"/>
      <c r="F230" s="525"/>
      <c r="G230" s="525"/>
      <c r="H230" s="525"/>
      <c r="I230" s="525"/>
      <c r="J230" s="525"/>
      <c r="K230" s="525"/>
      <c r="L230" s="525"/>
      <c r="M230" s="525"/>
      <c r="N230" s="525"/>
      <c r="O230" s="525"/>
      <c r="P230" s="525"/>
      <c r="Q230" s="525"/>
      <c r="R230" s="525"/>
      <c r="S230" s="525"/>
      <c r="T230" s="525"/>
      <c r="U230" s="525"/>
      <c r="V230" s="525"/>
      <c r="W230" s="525"/>
      <c r="X230" s="525"/>
      <c r="Y230" s="525"/>
      <c r="Z230" s="525"/>
      <c r="AA230" s="525"/>
      <c r="AB230" s="525"/>
      <c r="AC230" s="525"/>
      <c r="AD230" s="525"/>
      <c r="AE230" s="525"/>
      <c r="AF230" s="525"/>
      <c r="AG230" s="525"/>
      <c r="AH230" s="525"/>
      <c r="AI230" s="525"/>
      <c r="AJ230" s="525"/>
      <c r="AK230" s="525"/>
      <c r="AL230" s="525"/>
    </row>
    <row r="231" spans="2:38" ht="15.75" hidden="1" customHeight="1" x14ac:dyDescent="0.25">
      <c r="B231" s="593" t="s">
        <v>259</v>
      </c>
      <c r="C231" s="523" t="s">
        <v>17</v>
      </c>
      <c r="D231" s="594" t="s">
        <v>273</v>
      </c>
      <c r="E231" s="525"/>
      <c r="F231" s="525"/>
      <c r="G231" s="525"/>
      <c r="H231" s="525"/>
      <c r="I231" s="525"/>
      <c r="J231" s="525"/>
      <c r="K231" s="525"/>
      <c r="L231" s="525"/>
      <c r="M231" s="525"/>
      <c r="N231" s="525"/>
      <c r="O231" s="525"/>
      <c r="P231" s="525"/>
      <c r="Q231" s="525"/>
      <c r="R231" s="525"/>
      <c r="S231" s="525"/>
      <c r="T231" s="525"/>
      <c r="U231" s="525"/>
      <c r="V231" s="525"/>
      <c r="W231" s="525"/>
      <c r="X231" s="525"/>
      <c r="Y231" s="525"/>
      <c r="Z231" s="525"/>
      <c r="AA231" s="525"/>
      <c r="AB231" s="525"/>
      <c r="AC231" s="525"/>
      <c r="AD231" s="525"/>
      <c r="AE231" s="525"/>
      <c r="AF231" s="525"/>
      <c r="AG231" s="525"/>
      <c r="AH231" s="525"/>
      <c r="AI231" s="525"/>
      <c r="AJ231" s="525"/>
      <c r="AK231" s="525"/>
      <c r="AL231" s="525"/>
    </row>
    <row r="232" spans="2:38" ht="15.75" hidden="1" customHeight="1" x14ac:dyDescent="0.25">
      <c r="B232" s="593" t="s">
        <v>260</v>
      </c>
      <c r="C232" s="523" t="s">
        <v>19</v>
      </c>
      <c r="D232" s="594" t="s">
        <v>273</v>
      </c>
      <c r="E232" s="525"/>
      <c r="F232" s="525"/>
      <c r="G232" s="525"/>
      <c r="H232" s="525"/>
      <c r="I232" s="525"/>
      <c r="J232" s="525"/>
      <c r="K232" s="525"/>
      <c r="L232" s="525"/>
      <c r="M232" s="525"/>
      <c r="N232" s="525"/>
      <c r="O232" s="525"/>
      <c r="P232" s="525"/>
      <c r="Q232" s="525"/>
      <c r="R232" s="525"/>
      <c r="S232" s="525"/>
      <c r="T232" s="525"/>
      <c r="U232" s="525"/>
      <c r="V232" s="525"/>
      <c r="W232" s="525"/>
      <c r="X232" s="525"/>
      <c r="Y232" s="525"/>
      <c r="Z232" s="525"/>
      <c r="AA232" s="525"/>
      <c r="AB232" s="525"/>
      <c r="AC232" s="525"/>
      <c r="AD232" s="525"/>
      <c r="AE232" s="525"/>
      <c r="AF232" s="525"/>
      <c r="AG232" s="525"/>
      <c r="AH232" s="525"/>
      <c r="AI232" s="525"/>
      <c r="AJ232" s="525"/>
      <c r="AK232" s="525"/>
      <c r="AL232" s="525"/>
    </row>
    <row r="233" spans="2:38" ht="15.75" hidden="1" customHeight="1" x14ac:dyDescent="0.25">
      <c r="B233" s="595" t="s">
        <v>261</v>
      </c>
      <c r="C233" s="527" t="s">
        <v>262</v>
      </c>
      <c r="D233" s="592" t="s">
        <v>2</v>
      </c>
      <c r="E233" s="525"/>
      <c r="F233" s="525"/>
      <c r="G233" s="525"/>
      <c r="H233" s="525"/>
      <c r="I233" s="525"/>
      <c r="J233" s="525"/>
      <c r="K233" s="525"/>
      <c r="L233" s="525"/>
      <c r="M233" s="525"/>
      <c r="N233" s="525"/>
      <c r="O233" s="525"/>
      <c r="P233" s="525"/>
      <c r="Q233" s="525"/>
      <c r="R233" s="525"/>
      <c r="S233" s="525"/>
      <c r="T233" s="525"/>
      <c r="U233" s="525"/>
      <c r="V233" s="525"/>
      <c r="W233" s="525"/>
      <c r="X233" s="525"/>
      <c r="Y233" s="525"/>
      <c r="Z233" s="525"/>
      <c r="AA233" s="525"/>
      <c r="AB233" s="525"/>
      <c r="AC233" s="525"/>
      <c r="AD233" s="525"/>
      <c r="AE233" s="525"/>
      <c r="AF233" s="525"/>
      <c r="AG233" s="525"/>
      <c r="AH233" s="525"/>
      <c r="AI233" s="525"/>
      <c r="AJ233" s="525"/>
      <c r="AK233" s="525"/>
      <c r="AL233" s="525"/>
    </row>
    <row r="234" spans="2:38" ht="15.75" hidden="1" customHeight="1" x14ac:dyDescent="0.25">
      <c r="B234" s="593" t="s">
        <v>263</v>
      </c>
      <c r="C234" s="523" t="s">
        <v>17</v>
      </c>
      <c r="D234" s="594" t="s">
        <v>273</v>
      </c>
      <c r="E234" s="525"/>
      <c r="F234" s="525"/>
      <c r="G234" s="525"/>
      <c r="H234" s="525"/>
      <c r="I234" s="525"/>
      <c r="J234" s="525"/>
      <c r="K234" s="525"/>
      <c r="L234" s="525"/>
      <c r="M234" s="525"/>
      <c r="N234" s="525"/>
      <c r="O234" s="525"/>
      <c r="P234" s="525"/>
      <c r="Q234" s="525"/>
      <c r="R234" s="525"/>
      <c r="S234" s="525"/>
      <c r="T234" s="525"/>
      <c r="U234" s="525"/>
      <c r="V234" s="525"/>
      <c r="W234" s="525"/>
      <c r="X234" s="525"/>
      <c r="Y234" s="525"/>
      <c r="Z234" s="525"/>
      <c r="AA234" s="525"/>
      <c r="AB234" s="525"/>
      <c r="AC234" s="525"/>
      <c r="AD234" s="525"/>
      <c r="AE234" s="525"/>
      <c r="AF234" s="525"/>
      <c r="AG234" s="525"/>
      <c r="AH234" s="525"/>
      <c r="AI234" s="525"/>
      <c r="AJ234" s="525"/>
      <c r="AK234" s="525"/>
      <c r="AL234" s="525"/>
    </row>
    <row r="235" spans="2:38" ht="15.75" hidden="1" customHeight="1" x14ac:dyDescent="0.25">
      <c r="B235" s="593" t="s">
        <v>264</v>
      </c>
      <c r="C235" s="523" t="s">
        <v>19</v>
      </c>
      <c r="D235" s="594" t="s">
        <v>273</v>
      </c>
      <c r="E235" s="525"/>
      <c r="F235" s="525"/>
      <c r="G235" s="525"/>
      <c r="H235" s="525"/>
      <c r="I235" s="525"/>
      <c r="J235" s="525"/>
      <c r="K235" s="525"/>
      <c r="L235" s="525"/>
      <c r="M235" s="525"/>
      <c r="N235" s="525"/>
      <c r="O235" s="525"/>
      <c r="P235" s="525"/>
      <c r="Q235" s="525"/>
      <c r="R235" s="525"/>
      <c r="S235" s="525"/>
      <c r="T235" s="525"/>
      <c r="U235" s="525"/>
      <c r="V235" s="525"/>
      <c r="W235" s="525"/>
      <c r="X235" s="525"/>
      <c r="Y235" s="525"/>
      <c r="Z235" s="525"/>
      <c r="AA235" s="525"/>
      <c r="AB235" s="525"/>
      <c r="AC235" s="525"/>
      <c r="AD235" s="525"/>
      <c r="AE235" s="525"/>
      <c r="AF235" s="525"/>
      <c r="AG235" s="525"/>
      <c r="AH235" s="525"/>
      <c r="AI235" s="525"/>
      <c r="AJ235" s="525"/>
      <c r="AK235" s="525"/>
      <c r="AL235" s="525"/>
    </row>
    <row r="236" spans="2:38" ht="15.75" hidden="1" customHeight="1" x14ac:dyDescent="0.25">
      <c r="B236" s="591">
        <v>77</v>
      </c>
      <c r="C236" s="527" t="s">
        <v>265</v>
      </c>
      <c r="D236" s="592" t="s">
        <v>2</v>
      </c>
      <c r="E236" s="525"/>
      <c r="F236" s="525"/>
      <c r="G236" s="525"/>
      <c r="H236" s="525"/>
      <c r="I236" s="525"/>
      <c r="J236" s="525"/>
      <c r="K236" s="525"/>
      <c r="L236" s="525"/>
      <c r="M236" s="525"/>
      <c r="N236" s="525"/>
      <c r="O236" s="525"/>
      <c r="P236" s="525"/>
      <c r="Q236" s="525"/>
      <c r="R236" s="525"/>
      <c r="S236" s="525"/>
      <c r="T236" s="525"/>
      <c r="U236" s="525"/>
      <c r="V236" s="525"/>
      <c r="W236" s="525"/>
      <c r="X236" s="525"/>
      <c r="Y236" s="525"/>
      <c r="Z236" s="525"/>
      <c r="AA236" s="525"/>
      <c r="AB236" s="525"/>
      <c r="AC236" s="525"/>
      <c r="AD236" s="525"/>
      <c r="AE236" s="525"/>
      <c r="AF236" s="525"/>
      <c r="AG236" s="525"/>
      <c r="AH236" s="525"/>
      <c r="AI236" s="525"/>
      <c r="AJ236" s="525"/>
      <c r="AK236" s="525"/>
      <c r="AL236" s="525"/>
    </row>
    <row r="237" spans="2:38" ht="15.75" hidden="1" customHeight="1" x14ac:dyDescent="0.25">
      <c r="B237" s="593" t="s">
        <v>266</v>
      </c>
      <c r="C237" s="523" t="s">
        <v>17</v>
      </c>
      <c r="D237" s="594" t="s">
        <v>273</v>
      </c>
      <c r="E237" s="525"/>
      <c r="F237" s="525"/>
      <c r="G237" s="525"/>
      <c r="H237" s="525"/>
      <c r="I237" s="525"/>
      <c r="J237" s="525"/>
      <c r="K237" s="525"/>
      <c r="L237" s="525"/>
      <c r="M237" s="525"/>
      <c r="N237" s="525"/>
      <c r="O237" s="525"/>
      <c r="P237" s="525"/>
      <c r="Q237" s="525"/>
      <c r="R237" s="525"/>
      <c r="S237" s="525"/>
      <c r="T237" s="525"/>
      <c r="U237" s="525"/>
      <c r="V237" s="525"/>
      <c r="W237" s="525"/>
      <c r="X237" s="525"/>
      <c r="Y237" s="525"/>
      <c r="Z237" s="525"/>
      <c r="AA237" s="525"/>
      <c r="AB237" s="525"/>
      <c r="AC237" s="525"/>
      <c r="AD237" s="525"/>
      <c r="AE237" s="525"/>
      <c r="AF237" s="525"/>
      <c r="AG237" s="525"/>
      <c r="AH237" s="525"/>
      <c r="AI237" s="525"/>
      <c r="AJ237" s="525"/>
      <c r="AK237" s="525"/>
      <c r="AL237" s="525"/>
    </row>
    <row r="238" spans="2:38" ht="15.75" hidden="1" customHeight="1" x14ac:dyDescent="0.25">
      <c r="B238" s="593" t="s">
        <v>267</v>
      </c>
      <c r="C238" s="523" t="s">
        <v>19</v>
      </c>
      <c r="D238" s="594" t="s">
        <v>273</v>
      </c>
      <c r="E238" s="525"/>
      <c r="F238" s="525"/>
      <c r="G238" s="525"/>
      <c r="H238" s="525"/>
      <c r="I238" s="525"/>
      <c r="J238" s="525"/>
      <c r="K238" s="525"/>
      <c r="L238" s="525"/>
      <c r="M238" s="525"/>
      <c r="N238" s="525"/>
      <c r="O238" s="525"/>
      <c r="P238" s="525"/>
      <c r="Q238" s="525"/>
      <c r="R238" s="525"/>
      <c r="S238" s="525"/>
      <c r="T238" s="525"/>
      <c r="U238" s="525"/>
      <c r="V238" s="525"/>
      <c r="W238" s="525"/>
      <c r="X238" s="525"/>
      <c r="Y238" s="525"/>
      <c r="Z238" s="525"/>
      <c r="AA238" s="525"/>
      <c r="AB238" s="525"/>
      <c r="AC238" s="525"/>
      <c r="AD238" s="525"/>
      <c r="AE238" s="525"/>
      <c r="AF238" s="525"/>
      <c r="AG238" s="525"/>
      <c r="AH238" s="525"/>
      <c r="AI238" s="525"/>
      <c r="AJ238" s="525"/>
      <c r="AK238" s="525"/>
      <c r="AL238" s="525"/>
    </row>
    <row r="239" spans="2:38" ht="15.75" hidden="1" customHeight="1" x14ac:dyDescent="0.25">
      <c r="B239" s="591">
        <v>78</v>
      </c>
      <c r="C239" s="527" t="s">
        <v>268</v>
      </c>
      <c r="D239" s="592" t="s">
        <v>2</v>
      </c>
      <c r="E239" s="525"/>
      <c r="F239" s="525"/>
      <c r="G239" s="525"/>
      <c r="H239" s="525"/>
      <c r="I239" s="525"/>
      <c r="J239" s="525"/>
      <c r="K239" s="525"/>
      <c r="L239" s="525"/>
      <c r="M239" s="525"/>
      <c r="N239" s="525"/>
      <c r="O239" s="525"/>
      <c r="P239" s="525"/>
      <c r="Q239" s="525"/>
      <c r="R239" s="525"/>
      <c r="S239" s="525"/>
      <c r="T239" s="525"/>
      <c r="U239" s="525"/>
      <c r="V239" s="525"/>
      <c r="W239" s="525"/>
      <c r="X239" s="525"/>
      <c r="Y239" s="525"/>
      <c r="Z239" s="525"/>
      <c r="AA239" s="525"/>
      <c r="AB239" s="525"/>
      <c r="AC239" s="525"/>
      <c r="AD239" s="525"/>
      <c r="AE239" s="525"/>
      <c r="AF239" s="525"/>
      <c r="AG239" s="525"/>
      <c r="AH239" s="525"/>
      <c r="AI239" s="525"/>
      <c r="AJ239" s="525"/>
      <c r="AK239" s="525"/>
      <c r="AL239" s="525"/>
    </row>
    <row r="240" spans="2:38" ht="15.75" hidden="1" customHeight="1" x14ac:dyDescent="0.25">
      <c r="B240" s="593" t="s">
        <v>269</v>
      </c>
      <c r="C240" s="523" t="s">
        <v>17</v>
      </c>
      <c r="D240" s="594" t="s">
        <v>273</v>
      </c>
      <c r="E240" s="525"/>
      <c r="F240" s="525"/>
      <c r="G240" s="525"/>
      <c r="H240" s="525"/>
      <c r="I240" s="525"/>
      <c r="J240" s="525"/>
      <c r="K240" s="525"/>
      <c r="L240" s="525"/>
      <c r="M240" s="525"/>
      <c r="N240" s="525"/>
      <c r="O240" s="525"/>
      <c r="P240" s="525"/>
      <c r="Q240" s="525"/>
      <c r="R240" s="525"/>
      <c r="S240" s="525"/>
      <c r="T240" s="525"/>
      <c r="U240" s="525"/>
      <c r="V240" s="525"/>
      <c r="W240" s="525"/>
      <c r="X240" s="525"/>
      <c r="Y240" s="525"/>
      <c r="Z240" s="525"/>
      <c r="AA240" s="525"/>
      <c r="AB240" s="525"/>
      <c r="AC240" s="525"/>
      <c r="AD240" s="525"/>
      <c r="AE240" s="525"/>
      <c r="AF240" s="525"/>
      <c r="AG240" s="525"/>
      <c r="AH240" s="525"/>
      <c r="AI240" s="525"/>
      <c r="AJ240" s="525"/>
      <c r="AK240" s="525"/>
      <c r="AL240" s="525"/>
    </row>
    <row r="241" spans="2:38" ht="16.5" hidden="1" customHeight="1" thickBot="1" x14ac:dyDescent="0.3">
      <c r="B241" s="593" t="s">
        <v>270</v>
      </c>
      <c r="C241" s="523" t="s">
        <v>19</v>
      </c>
      <c r="D241" s="594" t="s">
        <v>273</v>
      </c>
      <c r="E241" s="525"/>
      <c r="F241" s="525"/>
      <c r="G241" s="525"/>
      <c r="H241" s="525"/>
      <c r="I241" s="525"/>
      <c r="J241" s="525"/>
      <c r="K241" s="525"/>
      <c r="L241" s="525"/>
      <c r="M241" s="525"/>
      <c r="N241" s="525"/>
      <c r="O241" s="525"/>
      <c r="P241" s="525"/>
      <c r="Q241" s="525"/>
      <c r="R241" s="525"/>
      <c r="S241" s="525"/>
      <c r="T241" s="525"/>
      <c r="U241" s="525"/>
      <c r="V241" s="525"/>
      <c r="W241" s="525"/>
      <c r="X241" s="525"/>
      <c r="Y241" s="525"/>
      <c r="Z241" s="525"/>
      <c r="AA241" s="525"/>
      <c r="AB241" s="525"/>
      <c r="AC241" s="525"/>
      <c r="AD241" s="525"/>
      <c r="AE241" s="525"/>
      <c r="AF241" s="525"/>
      <c r="AG241" s="525"/>
      <c r="AH241" s="525"/>
      <c r="AI241" s="525"/>
      <c r="AJ241" s="525"/>
      <c r="AK241" s="525"/>
      <c r="AL241" s="525"/>
    </row>
    <row r="242" spans="2:38" ht="15.75" x14ac:dyDescent="0.25">
      <c r="B242" s="681" t="s">
        <v>271</v>
      </c>
      <c r="C242" s="596" t="s">
        <v>359</v>
      </c>
      <c r="D242" s="592" t="s">
        <v>2</v>
      </c>
      <c r="E242" s="525"/>
      <c r="F242" s="525"/>
      <c r="G242" s="525"/>
      <c r="H242" s="525"/>
      <c r="I242" s="525"/>
      <c r="J242" s="525"/>
      <c r="K242" s="525"/>
      <c r="L242" s="525"/>
      <c r="M242" s="525"/>
      <c r="N242" s="525"/>
      <c r="O242" s="525"/>
      <c r="P242" s="525"/>
      <c r="Q242" s="525"/>
      <c r="R242" s="525"/>
      <c r="S242" s="525"/>
      <c r="T242" s="525"/>
      <c r="U242" s="525"/>
      <c r="V242" s="525"/>
      <c r="W242" s="525"/>
      <c r="X242" s="525"/>
      <c r="Y242" s="525"/>
      <c r="Z242" s="525"/>
      <c r="AA242" s="525"/>
      <c r="AB242" s="525"/>
      <c r="AC242" s="525"/>
      <c r="AD242" s="525"/>
      <c r="AE242" s="525"/>
      <c r="AF242" s="525"/>
      <c r="AG242" s="525"/>
      <c r="AH242" s="525"/>
      <c r="AI242" s="525"/>
      <c r="AJ242" s="525"/>
      <c r="AK242" s="525"/>
      <c r="AL242" s="525"/>
    </row>
    <row r="243" spans="2:38" ht="15.75" x14ac:dyDescent="0.25">
      <c r="B243" s="681"/>
      <c r="C243" s="523" t="s">
        <v>17</v>
      </c>
      <c r="D243" s="594" t="s">
        <v>273</v>
      </c>
      <c r="E243" s="525"/>
      <c r="F243" s="525"/>
      <c r="G243" s="525"/>
      <c r="H243" s="661">
        <v>4735855</v>
      </c>
      <c r="I243" s="661">
        <v>4713648</v>
      </c>
      <c r="J243" s="661">
        <v>4564850</v>
      </c>
      <c r="K243" s="661">
        <v>4698315</v>
      </c>
      <c r="L243" s="533">
        <v>4620246</v>
      </c>
      <c r="M243" s="533">
        <v>4929625.552303127</v>
      </c>
      <c r="N243" s="533">
        <v>5219792.0163761294</v>
      </c>
      <c r="O243" s="533">
        <v>5513613.084572887</v>
      </c>
      <c r="P243" s="533">
        <v>5803683.1943154987</v>
      </c>
      <c r="Q243" s="533">
        <v>6089251.8061192278</v>
      </c>
      <c r="R243" s="533">
        <v>8496035.8000984676</v>
      </c>
      <c r="S243" s="533">
        <v>8498313.8453109078</v>
      </c>
      <c r="T243" s="533">
        <v>8500245.6113310102</v>
      </c>
      <c r="U243" s="533">
        <v>8501835.678492289</v>
      </c>
      <c r="V243" s="533">
        <v>8503088.581007747</v>
      </c>
      <c r="W243" s="533">
        <v>8504008.8073842153</v>
      </c>
      <c r="X243" s="533">
        <v>8504600.8008332457</v>
      </c>
      <c r="Y243" s="533">
        <v>8512507.7520661373</v>
      </c>
      <c r="Z243" s="533">
        <v>8492604.1519602295</v>
      </c>
      <c r="AA243" s="533">
        <v>8472704.2569291797</v>
      </c>
      <c r="AB243" s="533">
        <v>8452808.6637744606</v>
      </c>
      <c r="AC243" s="533">
        <v>8432917.9624167234</v>
      </c>
      <c r="AD243" s="533">
        <v>8413032.7359545697</v>
      </c>
      <c r="AE243" s="533">
        <v>8393153.5607229695</v>
      </c>
      <c r="AF243" s="533">
        <v>8373281.0063511413</v>
      </c>
      <c r="AG243" s="533">
        <v>8353415.6358200442</v>
      </c>
      <c r="AH243" s="533">
        <v>8333558.0055194236</v>
      </c>
      <c r="AI243" s="533">
        <v>8330468.8372707926</v>
      </c>
      <c r="AJ243" s="533">
        <v>8327331.1482900921</v>
      </c>
      <c r="AK243" s="533">
        <v>8324145.278688468</v>
      </c>
      <c r="AL243" s="533">
        <f>AK243</f>
        <v>8324145.278688468</v>
      </c>
    </row>
    <row r="244" spans="2:38" ht="15.75" x14ac:dyDescent="0.25">
      <c r="B244" s="681"/>
      <c r="C244" s="523" t="s">
        <v>19</v>
      </c>
      <c r="D244" s="594" t="s">
        <v>273</v>
      </c>
      <c r="E244" s="525"/>
      <c r="F244" s="525"/>
      <c r="G244" s="525"/>
      <c r="H244" s="661">
        <v>4956456</v>
      </c>
      <c r="I244" s="661">
        <v>4622063</v>
      </c>
      <c r="J244" s="661">
        <v>4686773</v>
      </c>
      <c r="K244" s="661">
        <v>4478719</v>
      </c>
      <c r="L244" s="533">
        <v>4668927</v>
      </c>
      <c r="M244" s="533">
        <v>4461738.6202145293</v>
      </c>
      <c r="N244" s="533">
        <v>4620312.686490207</v>
      </c>
      <c r="O244" s="533">
        <v>4783190.1936384197</v>
      </c>
      <c r="P244" s="533">
        <v>4944153.6651710412</v>
      </c>
      <c r="Q244" s="533">
        <v>5102368.9174758317</v>
      </c>
      <c r="R244" s="533">
        <v>8579799.1008371897</v>
      </c>
      <c r="S244" s="533">
        <v>8582061.3167826869</v>
      </c>
      <c r="T244" s="533">
        <v>8583979.6596978232</v>
      </c>
      <c r="U244" s="533">
        <v>8585558.6780891195</v>
      </c>
      <c r="V244" s="533">
        <v>8586802.8746630698</v>
      </c>
      <c r="W244" s="533">
        <v>8587716.7067375798</v>
      </c>
      <c r="X244" s="533">
        <v>8588304.5866500214</v>
      </c>
      <c r="Y244" s="533">
        <v>8596156.5954958629</v>
      </c>
      <c r="Z244" s="533">
        <v>8576391.2979124486</v>
      </c>
      <c r="AA244" s="533">
        <v>8556629.6796587352</v>
      </c>
      <c r="AB244" s="533">
        <v>8536872.3333892599</v>
      </c>
      <c r="AC244" s="533">
        <v>8517119.8449255321</v>
      </c>
      <c r="AD244" s="533">
        <v>8497372.7933144309</v>
      </c>
      <c r="AE244" s="533">
        <v>8477631.7508861888</v>
      </c>
      <c r="AF244" s="533">
        <v>8457897.2833118904</v>
      </c>
      <c r="AG244" s="533">
        <v>8438169.9496605545</v>
      </c>
      <c r="AH244" s="533">
        <v>8418450.3024557903</v>
      </c>
      <c r="AI244" s="533">
        <v>8415382.5996585824</v>
      </c>
      <c r="AJ244" s="533">
        <v>8412266.7132813558</v>
      </c>
      <c r="AK244" s="533">
        <v>8409102.9810719546</v>
      </c>
      <c r="AL244" s="533">
        <f>AK244</f>
        <v>8409102.9810719546</v>
      </c>
    </row>
    <row r="246" spans="2:38" x14ac:dyDescent="0.25">
      <c r="B246" s="31"/>
      <c r="C246" s="31"/>
      <c r="D246" s="31"/>
      <c r="E246" s="31"/>
      <c r="F246" s="31"/>
      <c r="G246" s="31"/>
      <c r="H246" s="31">
        <v>2014</v>
      </c>
      <c r="I246" s="31">
        <v>2015</v>
      </c>
      <c r="J246" s="31">
        <v>2016</v>
      </c>
      <c r="K246" s="31">
        <v>2017</v>
      </c>
      <c r="L246" s="31">
        <v>2018</v>
      </c>
      <c r="M246" s="31">
        <v>2019</v>
      </c>
      <c r="N246" s="31">
        <v>2020</v>
      </c>
      <c r="O246" s="31">
        <v>2021</v>
      </c>
      <c r="P246" s="31">
        <v>2022</v>
      </c>
      <c r="Q246" s="31">
        <v>2023</v>
      </c>
      <c r="R246" s="31">
        <v>2024</v>
      </c>
      <c r="S246" s="31">
        <v>2025</v>
      </c>
      <c r="T246" s="31">
        <v>2026</v>
      </c>
      <c r="U246" s="31">
        <v>2027</v>
      </c>
      <c r="V246" s="31">
        <v>2028</v>
      </c>
      <c r="W246" s="31">
        <v>2029</v>
      </c>
      <c r="X246" s="31">
        <v>2030</v>
      </c>
      <c r="Y246" s="31">
        <v>2031</v>
      </c>
      <c r="Z246" s="31">
        <v>2032</v>
      </c>
      <c r="AA246" s="31">
        <v>2033</v>
      </c>
      <c r="AB246" s="31">
        <v>2034</v>
      </c>
      <c r="AC246" s="31">
        <v>2035</v>
      </c>
      <c r="AD246" s="31">
        <v>2036</v>
      </c>
      <c r="AE246" s="31">
        <v>2037</v>
      </c>
      <c r="AF246" s="31">
        <v>2038</v>
      </c>
      <c r="AG246" s="31">
        <v>2039</v>
      </c>
      <c r="AH246" s="31">
        <v>2040</v>
      </c>
      <c r="AI246" s="31">
        <v>2041</v>
      </c>
      <c r="AJ246" s="31">
        <v>2042</v>
      </c>
      <c r="AK246" s="31">
        <v>2043</v>
      </c>
      <c r="AL246" s="31">
        <v>2044</v>
      </c>
    </row>
    <row r="247" spans="2:38" x14ac:dyDescent="0.25">
      <c r="B247" s="31"/>
      <c r="C247" s="31" t="s">
        <v>622</v>
      </c>
      <c r="D247" s="204" t="s">
        <v>623</v>
      </c>
      <c r="E247" s="31"/>
      <c r="F247" s="31"/>
      <c r="G247" s="31"/>
      <c r="H247" s="69">
        <f>I247*0.6</f>
        <v>41006.179452149183</v>
      </c>
      <c r="I247" s="69">
        <f>J247*0.7</f>
        <v>68343.632420248643</v>
      </c>
      <c r="J247" s="69">
        <f>K247*0.8</f>
        <v>97633.760600355206</v>
      </c>
      <c r="K247" s="69">
        <f>L247*0.9</f>
        <v>122042.200750444</v>
      </c>
      <c r="L247" s="69">
        <v>135602.4452782711</v>
      </c>
      <c r="M247" s="69">
        <v>135020.0859987583</v>
      </c>
      <c r="N247" s="69">
        <v>133827.41759261713</v>
      </c>
      <c r="O247" s="69">
        <v>132922.19012533707</v>
      </c>
      <c r="P247" s="69">
        <v>132023.08574391078</v>
      </c>
      <c r="Q247" s="69">
        <v>131130.06303092488</v>
      </c>
      <c r="R247" s="69">
        <v>188898.18061596624</v>
      </c>
      <c r="S247" s="69">
        <v>187620.44676524421</v>
      </c>
      <c r="T247" s="69">
        <v>186351.35568592395</v>
      </c>
      <c r="U247" s="69">
        <v>185090.84891708454</v>
      </c>
      <c r="V247" s="69">
        <v>183838.86839324329</v>
      </c>
      <c r="W247" s="69">
        <v>182595.3564416802</v>
      </c>
      <c r="X247" s="69">
        <v>181360.25577978173</v>
      </c>
      <c r="Y247" s="69">
        <v>180332.82568689989</v>
      </c>
      <c r="Z247" s="69">
        <v>179311.21612283925</v>
      </c>
      <c r="AA247" s="69">
        <v>178295.39411352563</v>
      </c>
      <c r="AB247" s="69">
        <v>177285.32687168787</v>
      </c>
      <c r="AC247" s="69">
        <v>176280.98179579916</v>
      </c>
      <c r="AD247" s="69">
        <v>175282.32646902415</v>
      </c>
      <c r="AE247" s="69">
        <v>174289.32865817365</v>
      </c>
      <c r="AF247" s="69">
        <v>173301.95631266368</v>
      </c>
      <c r="AG247" s="69">
        <v>172320.17756348109</v>
      </c>
      <c r="AH247" s="69">
        <v>171343.96072215479</v>
      </c>
      <c r="AI247" s="69">
        <v>170798.6752329313</v>
      </c>
      <c r="AJ247" s="69">
        <v>170255.12506174011</v>
      </c>
      <c r="AK247" s="69">
        <v>169713.30468610022</v>
      </c>
      <c r="AL247" s="69">
        <v>169713.30468610022</v>
      </c>
    </row>
    <row r="248" spans="2:38" x14ac:dyDescent="0.25">
      <c r="B248" s="31"/>
      <c r="C248" s="31" t="s">
        <v>622</v>
      </c>
      <c r="D248" s="579" t="s">
        <v>623</v>
      </c>
      <c r="E248" s="31"/>
      <c r="F248" s="31"/>
      <c r="G248" s="31"/>
      <c r="H248" s="69">
        <f>I248*0.6</f>
        <v>30239.233421225461</v>
      </c>
      <c r="I248" s="69">
        <f>J248*0.7</f>
        <v>50398.722368709103</v>
      </c>
      <c r="J248" s="69">
        <f>K248*0.8</f>
        <v>71998.174812441575</v>
      </c>
      <c r="K248" s="69">
        <f>L248*0.9</f>
        <v>89997.718515551969</v>
      </c>
      <c r="L248" s="69">
        <v>99997.465017279959</v>
      </c>
      <c r="M248" s="69">
        <v>99647.32071694659</v>
      </c>
      <c r="N248" s="69">
        <v>98767.109374340827</v>
      </c>
      <c r="O248" s="69">
        <v>98099.034760948256</v>
      </c>
      <c r="P248" s="69">
        <v>97435.479098164753</v>
      </c>
      <c r="Q248" s="69">
        <v>96776.411819173038</v>
      </c>
      <c r="R248" s="69">
        <v>187585.5992370162</v>
      </c>
      <c r="S248" s="69">
        <v>186316.74387127609</v>
      </c>
      <c r="T248" s="69">
        <v>185056.4712216171</v>
      </c>
      <c r="U248" s="69">
        <v>183804.72323334098</v>
      </c>
      <c r="V248" s="69">
        <v>182561.44224443991</v>
      </c>
      <c r="W248" s="69">
        <v>181326.57098293956</v>
      </c>
      <c r="X248" s="69">
        <v>180100.05256426148</v>
      </c>
      <c r="Y248" s="69">
        <v>179079.76169105715</v>
      </c>
      <c r="Z248" s="69">
        <v>178065.25090204016</v>
      </c>
      <c r="AA248" s="69">
        <v>177056.4874522606</v>
      </c>
      <c r="AB248" s="69">
        <v>176053.43878227356</v>
      </c>
      <c r="AC248" s="69">
        <v>175056.07251708777</v>
      </c>
      <c r="AD248" s="69">
        <v>174064.35646512019</v>
      </c>
      <c r="AE248" s="69">
        <v>173078.25861715764</v>
      </c>
      <c r="AF248" s="69">
        <v>172097.74714532358</v>
      </c>
      <c r="AG248" s="69">
        <v>171122.79040205028</v>
      </c>
      <c r="AH248" s="69">
        <v>170153.35691905793</v>
      </c>
      <c r="AI248" s="69">
        <v>169611.86041063373</v>
      </c>
      <c r="AJ248" s="69">
        <v>169072.08716217888</v>
      </c>
      <c r="AK248" s="69">
        <v>168534.03168958612</v>
      </c>
      <c r="AL248" s="69">
        <v>168534.03168958612</v>
      </c>
    </row>
  </sheetData>
  <mergeCells count="39">
    <mergeCell ref="AK6:AK7"/>
    <mergeCell ref="AL6:AL7"/>
    <mergeCell ref="B5:D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Y6:Y7"/>
    <mergeCell ref="P6:P7"/>
    <mergeCell ref="Q6:Q7"/>
    <mergeCell ref="R6:R7"/>
    <mergeCell ref="S6:S7"/>
    <mergeCell ref="T6:T7"/>
    <mergeCell ref="AJ6:AJ7"/>
    <mergeCell ref="B242:B244"/>
    <mergeCell ref="AE6:AE7"/>
    <mergeCell ref="AF6:AF7"/>
    <mergeCell ref="AG6:AG7"/>
    <mergeCell ref="AH6:AH7"/>
    <mergeCell ref="AI6:AI7"/>
    <mergeCell ref="Z6:Z7"/>
    <mergeCell ref="AA6:AA7"/>
    <mergeCell ref="AB6:AB7"/>
    <mergeCell ref="AC6:AC7"/>
    <mergeCell ref="AD6:AD7"/>
    <mergeCell ref="U6:U7"/>
    <mergeCell ref="V6:V7"/>
    <mergeCell ref="W6:W7"/>
    <mergeCell ref="X6:X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E346"/>
  <sheetViews>
    <sheetView view="pageBreakPreview" zoomScale="90" zoomScaleNormal="100" zoomScaleSheetLayoutView="90" workbookViewId="0">
      <pane ySplit="6" topLeftCell="A280" activePane="bottomLeft" state="frozen"/>
      <selection pane="bottomLeft" activeCell="D288" sqref="D288"/>
    </sheetView>
  </sheetViews>
  <sheetFormatPr defaultColWidth="9.140625" defaultRowHeight="15" x14ac:dyDescent="0.2"/>
  <cols>
    <col min="1" max="1" width="6.42578125" style="45" customWidth="1"/>
    <col min="2" max="2" width="50.85546875" style="45" customWidth="1"/>
    <col min="3" max="8" width="14.7109375" style="43" customWidth="1"/>
    <col min="9" max="9" width="14.7109375" style="43" hidden="1" customWidth="1"/>
    <col min="10" max="10" width="14.7109375" style="43" customWidth="1"/>
    <col min="11" max="11" width="12.42578125" style="44" customWidth="1"/>
    <col min="12" max="16384" width="9.140625" style="43"/>
  </cols>
  <sheetData>
    <row r="1" spans="1:39" s="65" customFormat="1" ht="15.75" customHeight="1" thickBot="1" x14ac:dyDescent="0.3">
      <c r="A1" s="68"/>
      <c r="B1" s="688" t="s">
        <v>335</v>
      </c>
      <c r="C1" s="689"/>
      <c r="D1" s="689"/>
      <c r="J1" s="66"/>
      <c r="K1" s="66"/>
    </row>
    <row r="2" spans="1:39" s="65" customFormat="1" ht="18.75" customHeight="1" thickBot="1" x14ac:dyDescent="0.3">
      <c r="A2" s="63" t="s">
        <v>334</v>
      </c>
      <c r="B2" s="67"/>
      <c r="C2" s="690" t="s">
        <v>360</v>
      </c>
      <c r="D2" s="691"/>
      <c r="J2" s="66"/>
      <c r="K2" s="66"/>
    </row>
    <row r="3" spans="1:39" s="60" customFormat="1" ht="18" x14ac:dyDescent="0.2">
      <c r="A3" s="63" t="s">
        <v>333</v>
      </c>
      <c r="B3" s="64"/>
      <c r="J3" s="61"/>
      <c r="K3" s="61"/>
    </row>
    <row r="4" spans="1:39" s="60" customFormat="1" ht="18.75" thickBot="1" x14ac:dyDescent="0.3">
      <c r="A4" s="63" t="s">
        <v>332</v>
      </c>
      <c r="B4" s="62"/>
      <c r="J4" s="61"/>
      <c r="K4" s="61"/>
    </row>
    <row r="5" spans="1:39" s="45" customFormat="1" ht="28.9" customHeight="1" x14ac:dyDescent="0.2">
      <c r="A5" s="692" t="s">
        <v>12</v>
      </c>
      <c r="B5" s="685" t="s">
        <v>13</v>
      </c>
      <c r="C5" s="685" t="s">
        <v>331</v>
      </c>
      <c r="D5" s="102" t="s">
        <v>330</v>
      </c>
      <c r="E5" s="102" t="s">
        <v>329</v>
      </c>
      <c r="F5" s="102" t="s">
        <v>328</v>
      </c>
      <c r="G5" s="102" t="s">
        <v>357</v>
      </c>
      <c r="H5" s="685" t="s">
        <v>327</v>
      </c>
      <c r="I5" s="686"/>
      <c r="J5" s="687"/>
    </row>
    <row r="6" spans="1:39" s="45" customFormat="1" ht="35.25" customHeight="1" x14ac:dyDescent="0.2">
      <c r="A6" s="693"/>
      <c r="B6" s="694"/>
      <c r="C6" s="694"/>
      <c r="D6" s="156" t="s">
        <v>326</v>
      </c>
      <c r="E6" s="156" t="s">
        <v>325</v>
      </c>
      <c r="F6" s="156" t="s">
        <v>324</v>
      </c>
      <c r="G6" s="156" t="s">
        <v>323</v>
      </c>
      <c r="H6" s="156" t="s">
        <v>401</v>
      </c>
      <c r="I6" s="157" t="s">
        <v>356</v>
      </c>
      <c r="J6" s="158" t="s">
        <v>322</v>
      </c>
    </row>
    <row r="7" spans="1:39" s="56" customFormat="1" ht="15" customHeight="1" x14ac:dyDescent="0.25">
      <c r="A7" s="162" t="s">
        <v>14</v>
      </c>
      <c r="B7" s="246" t="s">
        <v>361</v>
      </c>
      <c r="C7" s="247">
        <f>SUM(C8:C9)</f>
        <v>27689395</v>
      </c>
      <c r="D7" s="247">
        <f t="shared" ref="D7:G7" si="0">SUM(D8:D9)</f>
        <v>27689395</v>
      </c>
      <c r="E7" s="247">
        <f t="shared" si="0"/>
        <v>0</v>
      </c>
      <c r="F7" s="247">
        <f t="shared" si="0"/>
        <v>0</v>
      </c>
      <c r="G7" s="247">
        <f t="shared" si="0"/>
        <v>0</v>
      </c>
      <c r="H7" s="247">
        <f>SUM(H8:H9)</f>
        <v>26599395</v>
      </c>
      <c r="I7" s="247">
        <f t="shared" ref="I7:J7" si="1">SUM(I8:I9)</f>
        <v>0</v>
      </c>
      <c r="J7" s="247">
        <f t="shared" si="1"/>
        <v>1090000</v>
      </c>
      <c r="K7" s="53">
        <v>0</v>
      </c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</row>
    <row r="8" spans="1:39" s="54" customFormat="1" ht="15" customHeight="1" x14ac:dyDescent="0.25">
      <c r="A8" s="163" t="s">
        <v>16</v>
      </c>
      <c r="B8" s="244" t="s">
        <v>17</v>
      </c>
      <c r="C8" s="245">
        <f>D8+E8+F8+G8</f>
        <v>14741047.5</v>
      </c>
      <c r="D8" s="245">
        <f>'[12]7.3.1'!$D$12+50%*'[12]7.3.1'!$D$14</f>
        <v>14741047.5</v>
      </c>
      <c r="E8" s="245">
        <v>0</v>
      </c>
      <c r="F8" s="245">
        <v>0</v>
      </c>
      <c r="G8" s="245">
        <v>0</v>
      </c>
      <c r="H8" s="245">
        <f>'[12]7.3.1'!$H$12+50%*'[12]7.3.1'!$H$14</f>
        <v>14741047.5</v>
      </c>
      <c r="I8" s="245">
        <v>0</v>
      </c>
      <c r="J8" s="245">
        <f>'[13]6,3,3'!N9</f>
        <v>0</v>
      </c>
      <c r="K8" s="53">
        <v>0</v>
      </c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</row>
    <row r="9" spans="1:39" s="51" customFormat="1" ht="15" customHeight="1" x14ac:dyDescent="0.25">
      <c r="A9" s="163" t="s">
        <v>18</v>
      </c>
      <c r="B9" s="244" t="s">
        <v>19</v>
      </c>
      <c r="C9" s="245">
        <f>D9+E9+F9+G9</f>
        <v>12948347.5</v>
      </c>
      <c r="D9" s="245">
        <f>'[12]7.3.1'!$D$13+50%*'[12]7.3.1'!$D$14</f>
        <v>12948347.5</v>
      </c>
      <c r="E9" s="245">
        <v>0</v>
      </c>
      <c r="F9" s="245">
        <v>0</v>
      </c>
      <c r="G9" s="245">
        <v>0</v>
      </c>
      <c r="H9" s="245">
        <f>'[12]7.3.1'!$H$13+50%*'[12]7.3.1'!$H$14</f>
        <v>11858347.5</v>
      </c>
      <c r="I9" s="245">
        <v>0</v>
      </c>
      <c r="J9" s="245">
        <f>'[12]7.3.1'!$I$13</f>
        <v>1090000</v>
      </c>
      <c r="K9" s="53">
        <v>0</v>
      </c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</row>
    <row r="10" spans="1:39" s="51" customFormat="1" ht="34.5" customHeight="1" x14ac:dyDescent="0.25">
      <c r="A10" s="164" t="s">
        <v>20</v>
      </c>
      <c r="B10" s="57" t="s">
        <v>362</v>
      </c>
      <c r="C10" s="166">
        <f>SUM(C11:C12)</f>
        <v>6252002</v>
      </c>
      <c r="D10" s="166">
        <f>SUM(D11:D12)</f>
        <v>6252002</v>
      </c>
      <c r="E10" s="166">
        <f t="shared" ref="E10:F10" si="2">SUM(E11:E12)</f>
        <v>0</v>
      </c>
      <c r="F10" s="166">
        <f t="shared" si="2"/>
        <v>0</v>
      </c>
      <c r="G10" s="166">
        <f t="shared" ref="G10:J10" si="3">SUM(G11:G12)</f>
        <v>0</v>
      </c>
      <c r="H10" s="166">
        <f t="shared" si="3"/>
        <v>6252002</v>
      </c>
      <c r="I10" s="166">
        <f t="shared" si="3"/>
        <v>0</v>
      </c>
      <c r="J10" s="166">
        <f t="shared" si="3"/>
        <v>0</v>
      </c>
      <c r="K10" s="165">
        <v>8225000</v>
      </c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</row>
    <row r="11" spans="1:39" s="51" customFormat="1" ht="15" customHeight="1" x14ac:dyDescent="0.25">
      <c r="A11" s="163" t="s">
        <v>22</v>
      </c>
      <c r="B11" s="55" t="s">
        <v>17</v>
      </c>
      <c r="C11" s="167">
        <f>SUM(D11:G11)</f>
        <v>4185670</v>
      </c>
      <c r="D11" s="167">
        <f>'[14]6.3.3.'!$H$47</f>
        <v>4185670</v>
      </c>
      <c r="E11" s="167">
        <v>0</v>
      </c>
      <c r="F11" s="167">
        <v>0</v>
      </c>
      <c r="G11" s="167">
        <v>0</v>
      </c>
      <c r="H11" s="167">
        <f>'[14]6.3.3.'!$L$47</f>
        <v>4185670</v>
      </c>
      <c r="I11" s="167">
        <v>0</v>
      </c>
      <c r="J11" s="167">
        <v>0</v>
      </c>
      <c r="K11" s="165">
        <v>1200000</v>
      </c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</row>
    <row r="12" spans="1:39" s="58" customFormat="1" ht="15" customHeight="1" x14ac:dyDescent="0.25">
      <c r="A12" s="163" t="s">
        <v>23</v>
      </c>
      <c r="B12" s="55" t="s">
        <v>19</v>
      </c>
      <c r="C12" s="167">
        <f>SUM(D12:G12)</f>
        <v>2066332</v>
      </c>
      <c r="D12" s="167">
        <f>'[14]6.3.3.'!$H$56</f>
        <v>2066332</v>
      </c>
      <c r="E12" s="167">
        <v>0</v>
      </c>
      <c r="F12" s="167">
        <v>0</v>
      </c>
      <c r="G12" s="167">
        <v>0</v>
      </c>
      <c r="H12" s="167">
        <f>'[14]6.3.3.'!$L$56</f>
        <v>2066332</v>
      </c>
      <c r="I12" s="167">
        <v>0</v>
      </c>
      <c r="J12" s="167">
        <v>0</v>
      </c>
      <c r="K12" s="165">
        <v>7025000</v>
      </c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</row>
    <row r="13" spans="1:39" s="56" customFormat="1" ht="35.25" customHeight="1" x14ac:dyDescent="0.25">
      <c r="A13" s="162">
        <v>3</v>
      </c>
      <c r="B13" s="57" t="s">
        <v>363</v>
      </c>
      <c r="C13" s="166">
        <f>SUM(C14:C15)</f>
        <v>31750804</v>
      </c>
      <c r="D13" s="166">
        <f>SUM(D14:D15)</f>
        <v>31750804</v>
      </c>
      <c r="E13" s="166">
        <f t="shared" ref="E13:F13" si="4">SUM(E14:E15)</f>
        <v>0</v>
      </c>
      <c r="F13" s="166">
        <f t="shared" si="4"/>
        <v>0</v>
      </c>
      <c r="G13" s="166">
        <f t="shared" ref="G13:J13" si="5">SUM(G14:G15)</f>
        <v>0</v>
      </c>
      <c r="H13" s="166">
        <f t="shared" si="5"/>
        <v>0</v>
      </c>
      <c r="I13" s="166">
        <f t="shared" si="5"/>
        <v>0</v>
      </c>
      <c r="J13" s="166">
        <f t="shared" si="5"/>
        <v>31750804</v>
      </c>
      <c r="K13" s="53">
        <v>0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</row>
    <row r="14" spans="1:39" s="54" customFormat="1" ht="15" customHeight="1" x14ac:dyDescent="0.25">
      <c r="A14" s="163" t="s">
        <v>25</v>
      </c>
      <c r="B14" s="55" t="s">
        <v>17</v>
      </c>
      <c r="C14" s="167">
        <f>SUM(D14:G14)</f>
        <v>7112404</v>
      </c>
      <c r="D14" s="167">
        <f>'[14]6.3.3.'!$H$82</f>
        <v>7112404</v>
      </c>
      <c r="E14" s="167">
        <v>0</v>
      </c>
      <c r="F14" s="167">
        <v>0</v>
      </c>
      <c r="G14" s="167">
        <v>0</v>
      </c>
      <c r="H14" s="167">
        <v>0</v>
      </c>
      <c r="I14" s="167">
        <v>0</v>
      </c>
      <c r="J14" s="167">
        <f>'[14]6.3.3.'!$M$82</f>
        <v>7112404</v>
      </c>
      <c r="K14" s="53">
        <v>0</v>
      </c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</row>
    <row r="15" spans="1:39" s="51" customFormat="1" ht="15" customHeight="1" x14ac:dyDescent="0.25">
      <c r="A15" s="163" t="s">
        <v>26</v>
      </c>
      <c r="B15" s="55" t="s">
        <v>19</v>
      </c>
      <c r="C15" s="167">
        <f>SUM(D15:G15)</f>
        <v>24638400</v>
      </c>
      <c r="D15" s="167">
        <f>'[14]6.3.3.'!$H$92</f>
        <v>24638400</v>
      </c>
      <c r="E15" s="167">
        <v>0</v>
      </c>
      <c r="F15" s="167">
        <v>0</v>
      </c>
      <c r="G15" s="167">
        <v>0</v>
      </c>
      <c r="H15" s="167">
        <v>0</v>
      </c>
      <c r="I15" s="167">
        <v>0</v>
      </c>
      <c r="J15" s="167">
        <f>'[14]6.3.3.'!$M$92</f>
        <v>24638400</v>
      </c>
      <c r="K15" s="53">
        <v>0</v>
      </c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</row>
    <row r="16" spans="1:39" s="56" customFormat="1" ht="33" customHeight="1" x14ac:dyDescent="0.25">
      <c r="A16" s="162">
        <v>4</v>
      </c>
      <c r="B16" s="57" t="s">
        <v>364</v>
      </c>
      <c r="C16" s="166">
        <f>SUM(C17:C18)</f>
        <v>1693928</v>
      </c>
      <c r="D16" s="166">
        <f t="shared" ref="D16:F16" si="6">SUM(D17:D18)</f>
        <v>1035780</v>
      </c>
      <c r="E16" s="166">
        <f t="shared" si="6"/>
        <v>658148</v>
      </c>
      <c r="F16" s="166">
        <f t="shared" si="6"/>
        <v>0</v>
      </c>
      <c r="G16" s="166">
        <f t="shared" ref="G16:J16" si="7">SUM(G17:G18)</f>
        <v>0</v>
      </c>
      <c r="H16" s="166">
        <f t="shared" si="7"/>
        <v>1035780</v>
      </c>
      <c r="I16" s="166">
        <f t="shared" si="7"/>
        <v>0</v>
      </c>
      <c r="J16" s="166">
        <f t="shared" si="7"/>
        <v>658148</v>
      </c>
      <c r="K16" s="53">
        <v>0</v>
      </c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</row>
    <row r="17" spans="1:39" s="54" customFormat="1" ht="15" customHeight="1" x14ac:dyDescent="0.25">
      <c r="A17" s="163" t="s">
        <v>28</v>
      </c>
      <c r="B17" s="55" t="s">
        <v>17</v>
      </c>
      <c r="C17" s="167">
        <f>SUM(D17:G17)</f>
        <v>1693928</v>
      </c>
      <c r="D17" s="167">
        <f>'[14]6.3.3.'!$H$114</f>
        <v>1035780</v>
      </c>
      <c r="E17" s="167">
        <f>'[14]6.3.3.'!$I$114</f>
        <v>658148</v>
      </c>
      <c r="F17" s="167">
        <v>0</v>
      </c>
      <c r="G17" s="167">
        <v>0</v>
      </c>
      <c r="H17" s="167">
        <f>'[14]6.3.3.'!$L$114</f>
        <v>1035780</v>
      </c>
      <c r="I17" s="167">
        <v>0</v>
      </c>
      <c r="J17" s="167">
        <f>'[14]6.3.3.'!$M$114</f>
        <v>658148</v>
      </c>
      <c r="K17" s="53">
        <v>0</v>
      </c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</row>
    <row r="18" spans="1:39" s="51" customFormat="1" ht="15" customHeight="1" x14ac:dyDescent="0.25">
      <c r="A18" s="163" t="s">
        <v>29</v>
      </c>
      <c r="B18" s="55" t="s">
        <v>19</v>
      </c>
      <c r="C18" s="167">
        <f>SUM(D18:G18)</f>
        <v>0</v>
      </c>
      <c r="D18" s="167">
        <f>'[14]6.3.3.'!$H$126</f>
        <v>0</v>
      </c>
      <c r="E18" s="167">
        <v>0</v>
      </c>
      <c r="F18" s="167">
        <v>0</v>
      </c>
      <c r="G18" s="167">
        <v>0</v>
      </c>
      <c r="H18" s="167">
        <v>0</v>
      </c>
      <c r="I18" s="167">
        <v>0</v>
      </c>
      <c r="J18" s="167">
        <v>0</v>
      </c>
      <c r="K18" s="53">
        <v>0</v>
      </c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</row>
    <row r="19" spans="1:39" s="51" customFormat="1" ht="31.5" customHeight="1" x14ac:dyDescent="0.25">
      <c r="A19" s="164" t="s">
        <v>30</v>
      </c>
      <c r="B19" s="246" t="s">
        <v>365</v>
      </c>
      <c r="C19" s="247">
        <f>SUM(C20:C21)</f>
        <v>13117958.4</v>
      </c>
      <c r="D19" s="247">
        <f t="shared" ref="D19:F19" si="8">SUM(D20:D21)</f>
        <v>13117958.4</v>
      </c>
      <c r="E19" s="247">
        <f t="shared" si="8"/>
        <v>0</v>
      </c>
      <c r="F19" s="247">
        <f t="shared" si="8"/>
        <v>0</v>
      </c>
      <c r="G19" s="247">
        <f>SUM(G20:G21)</f>
        <v>0</v>
      </c>
      <c r="H19" s="247">
        <f t="shared" ref="H19:J19" si="9">SUM(H20:H21)</f>
        <v>0</v>
      </c>
      <c r="I19" s="247">
        <f t="shared" si="9"/>
        <v>0</v>
      </c>
      <c r="J19" s="247">
        <f t="shared" si="9"/>
        <v>13117958.4</v>
      </c>
      <c r="K19" s="53">
        <v>0</v>
      </c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</row>
    <row r="20" spans="1:39" s="51" customFormat="1" ht="15" customHeight="1" x14ac:dyDescent="0.25">
      <c r="A20" s="163" t="s">
        <v>32</v>
      </c>
      <c r="B20" s="244" t="s">
        <v>17</v>
      </c>
      <c r="C20" s="245">
        <f>SUM(D20:G20)</f>
        <v>3422989.4</v>
      </c>
      <c r="D20" s="245">
        <f>'[12]7.3.1'!$D$28</f>
        <v>3422989.4</v>
      </c>
      <c r="E20" s="245">
        <v>0</v>
      </c>
      <c r="F20" s="245">
        <v>0</v>
      </c>
      <c r="G20" s="245">
        <v>0</v>
      </c>
      <c r="H20" s="245">
        <f>'[12]7.3.1'!$H$28</f>
        <v>0</v>
      </c>
      <c r="I20" s="245">
        <v>0</v>
      </c>
      <c r="J20" s="245">
        <f>'[12]7.3.1'!$I$28</f>
        <v>3422989.4</v>
      </c>
      <c r="K20" s="53">
        <v>0</v>
      </c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</row>
    <row r="21" spans="1:39" s="58" customFormat="1" ht="15" customHeight="1" x14ac:dyDescent="0.25">
      <c r="A21" s="163" t="s">
        <v>33</v>
      </c>
      <c r="B21" s="244" t="s">
        <v>19</v>
      </c>
      <c r="C21" s="245">
        <f>SUM(D21:G21)</f>
        <v>9694969</v>
      </c>
      <c r="D21" s="245">
        <f>'[12]7.3.1'!$D$29</f>
        <v>9694969</v>
      </c>
      <c r="E21" s="245">
        <v>0</v>
      </c>
      <c r="F21" s="245">
        <v>0</v>
      </c>
      <c r="G21" s="245">
        <v>0</v>
      </c>
      <c r="H21" s="245">
        <f>'[12]7.3.1'!$H$29</f>
        <v>0</v>
      </c>
      <c r="I21" s="245">
        <v>0</v>
      </c>
      <c r="J21" s="245">
        <f>'[12]7.3.1'!$I$29</f>
        <v>9694969</v>
      </c>
      <c r="K21" s="53">
        <v>0</v>
      </c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</row>
    <row r="22" spans="1:39" s="56" customFormat="1" ht="46.5" customHeight="1" x14ac:dyDescent="0.25">
      <c r="A22" s="162">
        <v>6</v>
      </c>
      <c r="B22" s="246" t="s">
        <v>366</v>
      </c>
      <c r="C22" s="249">
        <f>SUM(C23:C24)</f>
        <v>2516799</v>
      </c>
      <c r="D22" s="247">
        <f t="shared" ref="D22:F22" si="10">SUM(D23:D24)</f>
        <v>2407799</v>
      </c>
      <c r="E22" s="247">
        <f t="shared" si="10"/>
        <v>109000</v>
      </c>
      <c r="F22" s="247">
        <f t="shared" si="10"/>
        <v>0</v>
      </c>
      <c r="G22" s="247">
        <f t="shared" ref="G22:J22" si="11">SUM(G23:G24)</f>
        <v>0</v>
      </c>
      <c r="H22" s="247">
        <f t="shared" si="11"/>
        <v>2407799</v>
      </c>
      <c r="I22" s="247">
        <f t="shared" si="11"/>
        <v>0</v>
      </c>
      <c r="J22" s="247">
        <f t="shared" si="11"/>
        <v>109000</v>
      </c>
      <c r="K22" s="53">
        <v>0</v>
      </c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</row>
    <row r="23" spans="1:39" s="54" customFormat="1" ht="15" customHeight="1" x14ac:dyDescent="0.25">
      <c r="A23" s="163" t="s">
        <v>35</v>
      </c>
      <c r="B23" s="244" t="s">
        <v>17</v>
      </c>
      <c r="C23" s="245">
        <f>SUM(D23:G23)</f>
        <v>1215260</v>
      </c>
      <c r="D23" s="245">
        <f>'[12]7.3.1'!$D$32</f>
        <v>1215260</v>
      </c>
      <c r="E23" s="245">
        <v>0</v>
      </c>
      <c r="F23" s="245">
        <v>0</v>
      </c>
      <c r="G23" s="245">
        <v>0</v>
      </c>
      <c r="H23" s="245">
        <f>'[12]7.3.1'!$H$32</f>
        <v>1215260</v>
      </c>
      <c r="I23" s="245">
        <v>0</v>
      </c>
      <c r="J23" s="245">
        <v>0</v>
      </c>
      <c r="K23" s="53">
        <v>0</v>
      </c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51" customFormat="1" ht="15" customHeight="1" x14ac:dyDescent="0.25">
      <c r="A24" s="163" t="s">
        <v>36</v>
      </c>
      <c r="B24" s="244" t="s">
        <v>19</v>
      </c>
      <c r="C24" s="245">
        <f>SUM(D24:G24)</f>
        <v>1301539</v>
      </c>
      <c r="D24" s="245">
        <f>'[12]7.3.1'!$D$33</f>
        <v>1192539</v>
      </c>
      <c r="E24" s="245">
        <f>'[12]7.3.1'!$E$33</f>
        <v>109000</v>
      </c>
      <c r="F24" s="245">
        <v>0</v>
      </c>
      <c r="G24" s="245">
        <v>0</v>
      </c>
      <c r="H24" s="245">
        <f>'[12]7.3.1'!$H$33</f>
        <v>1192539</v>
      </c>
      <c r="I24" s="245">
        <v>0</v>
      </c>
      <c r="J24" s="245">
        <f>'[12]7.3.1'!$I$33</f>
        <v>109000</v>
      </c>
      <c r="K24" s="53">
        <v>0</v>
      </c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</row>
    <row r="25" spans="1:39" s="56" customFormat="1" ht="36" customHeight="1" x14ac:dyDescent="0.25">
      <c r="A25" s="162">
        <v>7</v>
      </c>
      <c r="B25" s="57" t="s">
        <v>367</v>
      </c>
      <c r="C25" s="166">
        <f>SUM(C26:C27)</f>
        <v>4935402</v>
      </c>
      <c r="D25" s="166">
        <f t="shared" ref="D25:F25" si="12">SUM(D26:D27)</f>
        <v>4935402</v>
      </c>
      <c r="E25" s="166">
        <f t="shared" si="12"/>
        <v>0</v>
      </c>
      <c r="F25" s="166">
        <f t="shared" si="12"/>
        <v>0</v>
      </c>
      <c r="G25" s="166">
        <f t="shared" ref="G25:J25" si="13">SUM(G26:G27)</f>
        <v>0</v>
      </c>
      <c r="H25" s="166">
        <f t="shared" si="13"/>
        <v>2673402</v>
      </c>
      <c r="I25" s="166">
        <f t="shared" si="13"/>
        <v>0</v>
      </c>
      <c r="J25" s="166">
        <f t="shared" si="13"/>
        <v>2262000</v>
      </c>
      <c r="K25" s="53">
        <v>0</v>
      </c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</row>
    <row r="26" spans="1:39" s="54" customFormat="1" ht="15" customHeight="1" x14ac:dyDescent="0.25">
      <c r="A26" s="163" t="s">
        <v>38</v>
      </c>
      <c r="B26" s="55" t="s">
        <v>17</v>
      </c>
      <c r="C26" s="167">
        <f>SUM(D26:G26)</f>
        <v>1000768</v>
      </c>
      <c r="D26" s="167">
        <f>'[14]6.3.3.'!$H$223</f>
        <v>1000768</v>
      </c>
      <c r="E26" s="167"/>
      <c r="F26" s="167"/>
      <c r="G26" s="167"/>
      <c r="H26" s="167">
        <f>'[14]6.3.3.'!$L$223</f>
        <v>261568</v>
      </c>
      <c r="I26" s="167"/>
      <c r="J26" s="167">
        <f>'[14]6.3.3.'!$M$223</f>
        <v>739200</v>
      </c>
      <c r="K26" s="53">
        <v>0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</row>
    <row r="27" spans="1:39" s="51" customFormat="1" ht="15" customHeight="1" x14ac:dyDescent="0.25">
      <c r="A27" s="163" t="s">
        <v>39</v>
      </c>
      <c r="B27" s="55" t="s">
        <v>19</v>
      </c>
      <c r="C27" s="167">
        <f>SUM(D27:G27)</f>
        <v>3934634</v>
      </c>
      <c r="D27" s="167">
        <f>'[14]6.3.3.'!$H$231</f>
        <v>3934634</v>
      </c>
      <c r="E27" s="167"/>
      <c r="F27" s="167"/>
      <c r="G27" s="167"/>
      <c r="H27" s="167">
        <f>'[14]6.3.3.'!$L$231</f>
        <v>2411834</v>
      </c>
      <c r="I27" s="167"/>
      <c r="J27" s="167">
        <f>'[14]6.3.3.'!$M$231</f>
        <v>1522800</v>
      </c>
      <c r="K27" s="53">
        <v>0</v>
      </c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</row>
    <row r="28" spans="1:39" s="51" customFormat="1" ht="42" customHeight="1" x14ac:dyDescent="0.25">
      <c r="A28" s="164" t="s">
        <v>40</v>
      </c>
      <c r="B28" s="57" t="s">
        <v>368</v>
      </c>
      <c r="C28" s="166">
        <f>SUM(C29:C30)</f>
        <v>1998390</v>
      </c>
      <c r="D28" s="166">
        <f t="shared" ref="D28:F28" si="14">SUM(D29:D30)</f>
        <v>1998390</v>
      </c>
      <c r="E28" s="166">
        <f t="shared" si="14"/>
        <v>0</v>
      </c>
      <c r="F28" s="166">
        <f t="shared" si="14"/>
        <v>0</v>
      </c>
      <c r="G28" s="166">
        <f t="shared" ref="G28:J28" si="15">SUM(G29:G30)</f>
        <v>0</v>
      </c>
      <c r="H28" s="166">
        <f t="shared" si="15"/>
        <v>1998390</v>
      </c>
      <c r="I28" s="166">
        <f t="shared" si="15"/>
        <v>0</v>
      </c>
      <c r="J28" s="166">
        <f t="shared" si="15"/>
        <v>0</v>
      </c>
      <c r="K28" s="53">
        <v>0</v>
      </c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</row>
    <row r="29" spans="1:39" s="51" customFormat="1" ht="15" customHeight="1" x14ac:dyDescent="0.25">
      <c r="A29" s="163" t="s">
        <v>42</v>
      </c>
      <c r="B29" s="55" t="s">
        <v>17</v>
      </c>
      <c r="C29" s="167">
        <f>SUM(D29:G29)</f>
        <v>874471</v>
      </c>
      <c r="D29" s="167">
        <f>'[14]6.3.3.'!$H$257</f>
        <v>874471</v>
      </c>
      <c r="E29" s="167">
        <v>0</v>
      </c>
      <c r="F29" s="167">
        <v>0</v>
      </c>
      <c r="G29" s="167">
        <v>0</v>
      </c>
      <c r="H29" s="167">
        <f>'[14]6.3.3.'!$L$257</f>
        <v>874471</v>
      </c>
      <c r="I29" s="167">
        <v>0</v>
      </c>
      <c r="J29" s="167">
        <v>0</v>
      </c>
      <c r="K29" s="53">
        <v>0</v>
      </c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</row>
    <row r="30" spans="1:39" s="58" customFormat="1" ht="15" customHeight="1" x14ac:dyDescent="0.25">
      <c r="A30" s="163" t="s">
        <v>43</v>
      </c>
      <c r="B30" s="55" t="s">
        <v>19</v>
      </c>
      <c r="C30" s="167">
        <f>SUM(D30:G30)</f>
        <v>1123919</v>
      </c>
      <c r="D30" s="167">
        <f>'[14]6.3.3.'!$H$265</f>
        <v>1123919</v>
      </c>
      <c r="E30" s="167">
        <v>0</v>
      </c>
      <c r="F30" s="167">
        <v>0</v>
      </c>
      <c r="G30" s="167">
        <v>0</v>
      </c>
      <c r="H30" s="167">
        <f>'[14]6.3.3.'!$L$265</f>
        <v>1123919</v>
      </c>
      <c r="I30" s="167">
        <v>0</v>
      </c>
      <c r="J30" s="167">
        <v>0</v>
      </c>
      <c r="K30" s="53">
        <v>0</v>
      </c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</row>
    <row r="31" spans="1:39" s="56" customFormat="1" ht="34.5" customHeight="1" x14ac:dyDescent="0.25">
      <c r="A31" s="162">
        <v>9</v>
      </c>
      <c r="B31" s="57" t="s">
        <v>369</v>
      </c>
      <c r="C31" s="166">
        <f>SUM(C32:C33)</f>
        <v>9846028</v>
      </c>
      <c r="D31" s="166">
        <f t="shared" ref="D31:F31" si="16">SUM(D32:D33)</f>
        <v>9216176</v>
      </c>
      <c r="E31" s="166">
        <f t="shared" si="16"/>
        <v>0</v>
      </c>
      <c r="F31" s="166">
        <f t="shared" si="16"/>
        <v>629852</v>
      </c>
      <c r="G31" s="166">
        <f t="shared" ref="G31:J31" si="17">SUM(G32:G33)</f>
        <v>0</v>
      </c>
      <c r="H31" s="166">
        <f t="shared" si="17"/>
        <v>0</v>
      </c>
      <c r="I31" s="166">
        <f t="shared" si="17"/>
        <v>0</v>
      </c>
      <c r="J31" s="166">
        <f t="shared" si="17"/>
        <v>9846028</v>
      </c>
      <c r="K31" s="53">
        <v>0</v>
      </c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</row>
    <row r="32" spans="1:39" s="54" customFormat="1" ht="15" customHeight="1" x14ac:dyDescent="0.25">
      <c r="A32" s="163" t="s">
        <v>45</v>
      </c>
      <c r="B32" s="55" t="s">
        <v>17</v>
      </c>
      <c r="C32" s="167">
        <f>SUM(D32:G32)</f>
        <v>3049669</v>
      </c>
      <c r="D32" s="167">
        <f>'[14]6.3.3.'!$H$288</f>
        <v>2419817</v>
      </c>
      <c r="E32" s="167"/>
      <c r="F32" s="167">
        <f>'[14]6.3.3.'!$J$288</f>
        <v>629852</v>
      </c>
      <c r="G32" s="167"/>
      <c r="H32" s="167">
        <f>'[14]6.3.3.'!$L$288</f>
        <v>0</v>
      </c>
      <c r="I32" s="167"/>
      <c r="J32" s="167">
        <f>'[14]6.3.3.'!$M$288</f>
        <v>3049669</v>
      </c>
      <c r="K32" s="53">
        <v>0</v>
      </c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</row>
    <row r="33" spans="1:39" s="51" customFormat="1" ht="15" customHeight="1" x14ac:dyDescent="0.25">
      <c r="A33" s="163" t="s">
        <v>46</v>
      </c>
      <c r="B33" s="55" t="s">
        <v>19</v>
      </c>
      <c r="C33" s="167">
        <f>SUM(D33:G33)</f>
        <v>6796359</v>
      </c>
      <c r="D33" s="167">
        <f>'[14]6.3.3.'!$H$298</f>
        <v>6796359</v>
      </c>
      <c r="E33" s="167"/>
      <c r="F33" s="167">
        <f>'[14]6.3.3.'!$J$298</f>
        <v>0</v>
      </c>
      <c r="G33" s="167"/>
      <c r="H33" s="167">
        <f>'[14]6.3.3.'!$L$298</f>
        <v>0</v>
      </c>
      <c r="I33" s="167"/>
      <c r="J33" s="167">
        <f>'[14]6.3.3.'!$M$298</f>
        <v>6796359</v>
      </c>
      <c r="K33" s="53">
        <v>0</v>
      </c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</row>
    <row r="34" spans="1:39" s="51" customFormat="1" ht="32.25" customHeight="1" x14ac:dyDescent="0.25">
      <c r="A34" s="164" t="s">
        <v>47</v>
      </c>
      <c r="B34" s="57" t="s">
        <v>370</v>
      </c>
      <c r="C34" s="166">
        <f>SUM(C35:C36)</f>
        <v>3138669</v>
      </c>
      <c r="D34" s="166">
        <f t="shared" ref="D34:F34" si="18">SUM(D35:D36)</f>
        <v>3138669</v>
      </c>
      <c r="E34" s="166">
        <f t="shared" si="18"/>
        <v>0</v>
      </c>
      <c r="F34" s="166">
        <f t="shared" si="18"/>
        <v>0</v>
      </c>
      <c r="G34" s="166">
        <f t="shared" ref="G34:J34" si="19">SUM(G35:G36)</f>
        <v>0</v>
      </c>
      <c r="H34" s="166">
        <f t="shared" si="19"/>
        <v>0</v>
      </c>
      <c r="I34" s="166">
        <f t="shared" si="19"/>
        <v>0</v>
      </c>
      <c r="J34" s="166">
        <f t="shared" si="19"/>
        <v>3138669</v>
      </c>
      <c r="K34" s="53">
        <v>5918100</v>
      </c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</row>
    <row r="35" spans="1:39" s="51" customFormat="1" ht="15" customHeight="1" x14ac:dyDescent="0.25">
      <c r="A35" s="163" t="s">
        <v>49</v>
      </c>
      <c r="B35" s="55" t="s">
        <v>17</v>
      </c>
      <c r="C35" s="167">
        <f>SUM(D35:G35)</f>
        <v>404200</v>
      </c>
      <c r="D35" s="167">
        <f>'[14]6.3.3.'!$H$319</f>
        <v>404200</v>
      </c>
      <c r="E35" s="167">
        <v>0</v>
      </c>
      <c r="F35" s="167">
        <v>0</v>
      </c>
      <c r="G35" s="167">
        <v>0</v>
      </c>
      <c r="H35" s="167">
        <f>'[14]6.3.3.'!$L$319</f>
        <v>0</v>
      </c>
      <c r="I35" s="167">
        <v>0</v>
      </c>
      <c r="J35" s="167">
        <f>'[14]6.3.3.'!$M$319</f>
        <v>404200</v>
      </c>
      <c r="K35" s="53">
        <v>2186600</v>
      </c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</row>
    <row r="36" spans="1:39" s="58" customFormat="1" ht="15" customHeight="1" x14ac:dyDescent="0.25">
      <c r="A36" s="163" t="s">
        <v>50</v>
      </c>
      <c r="B36" s="55" t="s">
        <v>19</v>
      </c>
      <c r="C36" s="167">
        <f>SUM(D36:G36)</f>
        <v>2734469</v>
      </c>
      <c r="D36" s="167">
        <f>'[14]6.3.3.'!$H$327</f>
        <v>2734469</v>
      </c>
      <c r="E36" s="167">
        <v>0</v>
      </c>
      <c r="F36" s="167">
        <v>0</v>
      </c>
      <c r="G36" s="167">
        <v>0</v>
      </c>
      <c r="H36" s="167">
        <f>'[14]6.3.3.'!$L$327</f>
        <v>0</v>
      </c>
      <c r="I36" s="167">
        <v>0</v>
      </c>
      <c r="J36" s="167">
        <f>'[14]6.3.3.'!$M$327</f>
        <v>2734469</v>
      </c>
      <c r="K36" s="53">
        <v>3731500</v>
      </c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</row>
    <row r="37" spans="1:39" s="56" customFormat="1" ht="37.5" customHeight="1" x14ac:dyDescent="0.25">
      <c r="A37" s="162">
        <v>11</v>
      </c>
      <c r="B37" s="57" t="s">
        <v>371</v>
      </c>
      <c r="C37" s="166">
        <f>SUM(C38:C39)</f>
        <v>12007207</v>
      </c>
      <c r="D37" s="166">
        <f>SUM(D38:D39)</f>
        <v>12007207</v>
      </c>
      <c r="E37" s="166">
        <f t="shared" ref="E37:F37" si="20">SUM(E38:E39)</f>
        <v>0</v>
      </c>
      <c r="F37" s="166">
        <f t="shared" si="20"/>
        <v>0</v>
      </c>
      <c r="G37" s="166">
        <f t="shared" ref="G37:J37" si="21">SUM(G38:G39)</f>
        <v>0</v>
      </c>
      <c r="H37" s="166">
        <f t="shared" si="21"/>
        <v>0</v>
      </c>
      <c r="I37" s="166">
        <f t="shared" si="21"/>
        <v>0</v>
      </c>
      <c r="J37" s="166">
        <f t="shared" si="21"/>
        <v>12007207</v>
      </c>
      <c r="K37" s="53">
        <v>0</v>
      </c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</row>
    <row r="38" spans="1:39" s="54" customFormat="1" ht="15" customHeight="1" x14ac:dyDescent="0.25">
      <c r="A38" s="163" t="s">
        <v>52</v>
      </c>
      <c r="B38" s="55" t="s">
        <v>17</v>
      </c>
      <c r="C38" s="167">
        <f>SUM(D38:G38)</f>
        <v>4689338</v>
      </c>
      <c r="D38" s="167">
        <f>'[14]6.3.3.'!$H$346</f>
        <v>4689338</v>
      </c>
      <c r="E38" s="167">
        <v>0</v>
      </c>
      <c r="F38" s="167">
        <v>0</v>
      </c>
      <c r="G38" s="167">
        <v>0</v>
      </c>
      <c r="H38" s="167">
        <v>0</v>
      </c>
      <c r="I38" s="167">
        <v>0</v>
      </c>
      <c r="J38" s="167">
        <f>'[14]6.3.3.'!$M$346</f>
        <v>4689338</v>
      </c>
      <c r="K38" s="53">
        <v>0</v>
      </c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</row>
    <row r="39" spans="1:39" s="51" customFormat="1" ht="15" customHeight="1" x14ac:dyDescent="0.25">
      <c r="A39" s="163" t="s">
        <v>53</v>
      </c>
      <c r="B39" s="55" t="s">
        <v>19</v>
      </c>
      <c r="C39" s="167">
        <f>SUM(D39:G39)</f>
        <v>7317869</v>
      </c>
      <c r="D39" s="167">
        <f>'[14]6.3.3.'!$H$355</f>
        <v>7317869</v>
      </c>
      <c r="E39" s="167">
        <v>0</v>
      </c>
      <c r="F39" s="167">
        <v>0</v>
      </c>
      <c r="G39" s="167">
        <v>0</v>
      </c>
      <c r="H39" s="167">
        <v>0</v>
      </c>
      <c r="I39" s="167">
        <v>0</v>
      </c>
      <c r="J39" s="167">
        <f>'[14]6.3.3.'!$M$355</f>
        <v>7317869</v>
      </c>
      <c r="K39" s="53">
        <v>0</v>
      </c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</row>
    <row r="40" spans="1:39" s="56" customFormat="1" ht="33" customHeight="1" x14ac:dyDescent="0.25">
      <c r="A40" s="162">
        <v>12</v>
      </c>
      <c r="B40" s="246" t="s">
        <v>372</v>
      </c>
      <c r="C40" s="247">
        <f>SUM(C41:C42)</f>
        <v>6821715.7999999998</v>
      </c>
      <c r="D40" s="247">
        <f t="shared" ref="D40:F40" si="22">SUM(D41:D42)</f>
        <v>5567046.7999999998</v>
      </c>
      <c r="E40" s="247">
        <f t="shared" si="22"/>
        <v>1254669</v>
      </c>
      <c r="F40" s="247">
        <f t="shared" si="22"/>
        <v>0</v>
      </c>
      <c r="G40" s="247">
        <f t="shared" ref="G40:J40" si="23">SUM(G41:G42)</f>
        <v>0</v>
      </c>
      <c r="H40" s="247">
        <f t="shared" si="23"/>
        <v>5567046.7999999998</v>
      </c>
      <c r="I40" s="247">
        <f t="shared" si="23"/>
        <v>0</v>
      </c>
      <c r="J40" s="247">
        <f t="shared" si="23"/>
        <v>1254669</v>
      </c>
      <c r="K40" s="53">
        <v>0</v>
      </c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</row>
    <row r="41" spans="1:39" s="54" customFormat="1" ht="15" customHeight="1" x14ac:dyDescent="0.25">
      <c r="A41" s="163" t="s">
        <v>55</v>
      </c>
      <c r="B41" s="244" t="s">
        <v>17</v>
      </c>
      <c r="C41" s="245">
        <f>SUM(D41:G41)</f>
        <v>2698008.8</v>
      </c>
      <c r="D41" s="245">
        <f>'[12]7.3.1'!$D$56</f>
        <v>2698008.8</v>
      </c>
      <c r="E41" s="245">
        <v>0</v>
      </c>
      <c r="F41" s="245"/>
      <c r="G41" s="245"/>
      <c r="H41" s="245">
        <f>'[12]7.3.1'!$H$56</f>
        <v>2698008.8</v>
      </c>
      <c r="I41" s="245">
        <v>0</v>
      </c>
      <c r="J41" s="245">
        <v>0</v>
      </c>
      <c r="K41" s="53">
        <v>0</v>
      </c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</row>
    <row r="42" spans="1:39" s="51" customFormat="1" ht="15" customHeight="1" x14ac:dyDescent="0.25">
      <c r="A42" s="163" t="s">
        <v>56</v>
      </c>
      <c r="B42" s="244" t="s">
        <v>19</v>
      </c>
      <c r="C42" s="245">
        <f>SUM(D42:G42)</f>
        <v>4123707</v>
      </c>
      <c r="D42" s="245">
        <f>'[12]7.3.1'!$D$57</f>
        <v>2869038</v>
      </c>
      <c r="E42" s="245">
        <f>'[12]7.3.1'!$E$57</f>
        <v>1254669</v>
      </c>
      <c r="F42" s="245"/>
      <c r="G42" s="245"/>
      <c r="H42" s="245">
        <f>'[12]7.3.1'!$H$57</f>
        <v>2869038</v>
      </c>
      <c r="I42" s="245">
        <v>0</v>
      </c>
      <c r="J42" s="245">
        <f>'[12]7.3.1'!$I$57</f>
        <v>1254669</v>
      </c>
      <c r="K42" s="53">
        <v>0</v>
      </c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</row>
    <row r="43" spans="1:39" s="51" customFormat="1" ht="30" customHeight="1" x14ac:dyDescent="0.25">
      <c r="A43" s="164" t="s">
        <v>57</v>
      </c>
      <c r="B43" s="57" t="s">
        <v>373</v>
      </c>
      <c r="C43" s="166">
        <f>SUM(C44:C45)</f>
        <v>9459907</v>
      </c>
      <c r="D43" s="166">
        <f t="shared" ref="D43:F43" si="24">SUM(D44:D45)</f>
        <v>4932950</v>
      </c>
      <c r="E43" s="166">
        <f t="shared" si="24"/>
        <v>4526957</v>
      </c>
      <c r="F43" s="166">
        <f t="shared" si="24"/>
        <v>0</v>
      </c>
      <c r="G43" s="166">
        <f t="shared" ref="G43:J43" si="25">SUM(G44:G45)</f>
        <v>0</v>
      </c>
      <c r="H43" s="166">
        <f t="shared" si="25"/>
        <v>1681550</v>
      </c>
      <c r="I43" s="166">
        <f t="shared" si="25"/>
        <v>0</v>
      </c>
      <c r="J43" s="166">
        <f t="shared" si="25"/>
        <v>7778357</v>
      </c>
      <c r="K43" s="53">
        <v>2383200</v>
      </c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</row>
    <row r="44" spans="1:39" s="51" customFormat="1" ht="15" customHeight="1" x14ac:dyDescent="0.25">
      <c r="A44" s="163" t="s">
        <v>59</v>
      </c>
      <c r="B44" s="55" t="s">
        <v>17</v>
      </c>
      <c r="C44" s="167">
        <f>SUM(D44:G44)</f>
        <v>3694069</v>
      </c>
      <c r="D44" s="167">
        <f>'[14]6.3.3.'!$H$412</f>
        <v>1681550</v>
      </c>
      <c r="E44" s="167">
        <f>'[14]6.3.3.'!$I$412</f>
        <v>2012519</v>
      </c>
      <c r="F44" s="167">
        <v>0</v>
      </c>
      <c r="G44" s="167">
        <v>0</v>
      </c>
      <c r="H44" s="167">
        <f>'[14]6.3.3.'!$L$412</f>
        <v>1681550</v>
      </c>
      <c r="I44" s="167">
        <v>0</v>
      </c>
      <c r="J44" s="167">
        <f>'[14]6.3.3.'!$M$412</f>
        <v>2012519</v>
      </c>
      <c r="K44" s="53">
        <v>0</v>
      </c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</row>
    <row r="45" spans="1:39" s="58" customFormat="1" ht="15" customHeight="1" x14ac:dyDescent="0.25">
      <c r="A45" s="163" t="s">
        <v>60</v>
      </c>
      <c r="B45" s="55" t="s">
        <v>19</v>
      </c>
      <c r="C45" s="167">
        <f>SUM(D45:G45)</f>
        <v>5765838</v>
      </c>
      <c r="D45" s="167">
        <f>'[14]6.3.3.'!$H$426</f>
        <v>3251400</v>
      </c>
      <c r="E45" s="167">
        <f>'[14]6.3.3.'!$I$426</f>
        <v>2514438</v>
      </c>
      <c r="F45" s="167">
        <v>0</v>
      </c>
      <c r="G45" s="167">
        <v>0</v>
      </c>
      <c r="H45" s="167">
        <f>'[14]6.3.3.'!$L$426</f>
        <v>0</v>
      </c>
      <c r="I45" s="167">
        <v>0</v>
      </c>
      <c r="J45" s="167">
        <f>'[14]6.3.3.'!$M$426</f>
        <v>5765838</v>
      </c>
      <c r="K45" s="53">
        <v>2383200</v>
      </c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</row>
    <row r="46" spans="1:39" s="56" customFormat="1" ht="35.25" customHeight="1" x14ac:dyDescent="0.25">
      <c r="A46" s="162">
        <v>14</v>
      </c>
      <c r="B46" s="57" t="s">
        <v>374</v>
      </c>
      <c r="C46" s="166">
        <f>SUM(C47:C48)</f>
        <v>352394.8</v>
      </c>
      <c r="D46" s="166">
        <f t="shared" ref="D46:F46" si="26">SUM(D47:D48)</f>
        <v>0</v>
      </c>
      <c r="E46" s="166">
        <f t="shared" si="26"/>
        <v>0</v>
      </c>
      <c r="F46" s="166">
        <f t="shared" si="26"/>
        <v>352394.8</v>
      </c>
      <c r="G46" s="166">
        <f t="shared" ref="G46:J46" si="27">SUM(G47:G48)</f>
        <v>0</v>
      </c>
      <c r="H46" s="166">
        <f t="shared" si="27"/>
        <v>0</v>
      </c>
      <c r="I46" s="166">
        <f t="shared" si="27"/>
        <v>0</v>
      </c>
      <c r="J46" s="166">
        <f t="shared" si="27"/>
        <v>352394.8</v>
      </c>
      <c r="K46" s="53">
        <v>1703700</v>
      </c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</row>
    <row r="47" spans="1:39" s="54" customFormat="1" ht="15" customHeight="1" x14ac:dyDescent="0.25">
      <c r="A47" s="163" t="s">
        <v>62</v>
      </c>
      <c r="B47" s="55" t="s">
        <v>17</v>
      </c>
      <c r="C47" s="167">
        <f>SUM(D47:G47)</f>
        <v>352394.8</v>
      </c>
      <c r="D47" s="167">
        <f>'[14]6.3.3.'!$H$456</f>
        <v>0</v>
      </c>
      <c r="E47" s="167">
        <v>0</v>
      </c>
      <c r="F47" s="167">
        <f>'[14]6.3.3.'!$J$456</f>
        <v>352394.8</v>
      </c>
      <c r="G47" s="167">
        <v>0</v>
      </c>
      <c r="H47" s="167">
        <f>'[14]6.3.3.'!$L$456</f>
        <v>0</v>
      </c>
      <c r="I47" s="167"/>
      <c r="J47" s="167">
        <f>'[14]6.3.3.'!$M$456</f>
        <v>352394.8</v>
      </c>
      <c r="K47" s="53">
        <v>1703700</v>
      </c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</row>
    <row r="48" spans="1:39" s="51" customFormat="1" ht="15" customHeight="1" x14ac:dyDescent="0.25">
      <c r="A48" s="163" t="s">
        <v>63</v>
      </c>
      <c r="B48" s="55" t="s">
        <v>19</v>
      </c>
      <c r="C48" s="167">
        <f>SUM(D48:G48)</f>
        <v>0</v>
      </c>
      <c r="D48" s="167">
        <f>'[14]6.3.3.'!$H$464</f>
        <v>0</v>
      </c>
      <c r="E48" s="167">
        <v>0</v>
      </c>
      <c r="F48" s="167">
        <f>'[14]6.3.3.'!$J$464</f>
        <v>0</v>
      </c>
      <c r="G48" s="167">
        <v>0</v>
      </c>
      <c r="H48" s="167">
        <f>'[14]6.3.3.'!$L$464</f>
        <v>0</v>
      </c>
      <c r="I48" s="167"/>
      <c r="J48" s="167">
        <f>'[14]6.3.3.'!$M$464</f>
        <v>0</v>
      </c>
      <c r="K48" s="53">
        <v>0</v>
      </c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</row>
    <row r="49" spans="1:39" s="56" customFormat="1" ht="48.75" customHeight="1" x14ac:dyDescent="0.25">
      <c r="A49" s="162">
        <v>15</v>
      </c>
      <c r="B49" s="57" t="s">
        <v>375</v>
      </c>
      <c r="C49" s="166">
        <f>SUM(C50:C51)</f>
        <v>9811017</v>
      </c>
      <c r="D49" s="166">
        <f t="shared" ref="D49:F49" si="28">SUM(D50:D51)</f>
        <v>1049041</v>
      </c>
      <c r="E49" s="166">
        <f t="shared" si="28"/>
        <v>8112376</v>
      </c>
      <c r="F49" s="166">
        <f t="shared" si="28"/>
        <v>649600</v>
      </c>
      <c r="G49" s="166">
        <f t="shared" ref="G49:J49" si="29">SUM(G50:G51)</f>
        <v>0</v>
      </c>
      <c r="H49" s="166">
        <f t="shared" si="29"/>
        <v>1049041</v>
      </c>
      <c r="I49" s="166">
        <f t="shared" si="29"/>
        <v>0</v>
      </c>
      <c r="J49" s="166">
        <f t="shared" si="29"/>
        <v>8761976</v>
      </c>
      <c r="K49" s="53">
        <v>0</v>
      </c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</row>
    <row r="50" spans="1:39" s="54" customFormat="1" ht="15" customHeight="1" x14ac:dyDescent="0.25">
      <c r="A50" s="163" t="s">
        <v>65</v>
      </c>
      <c r="B50" s="55" t="s">
        <v>17</v>
      </c>
      <c r="C50" s="167">
        <f>SUM(D50:G50)</f>
        <v>4105169</v>
      </c>
      <c r="D50" s="167">
        <f>'[14]6.3.3.'!$H$482</f>
        <v>1049041</v>
      </c>
      <c r="E50" s="167">
        <f>'[14]6.3.3.'!$I$482</f>
        <v>2755328</v>
      </c>
      <c r="F50" s="167">
        <f>'[14]6.3.3.'!$J$482</f>
        <v>300800</v>
      </c>
      <c r="G50" s="167">
        <v>0</v>
      </c>
      <c r="H50" s="167">
        <f>'[14]6.3.3.'!$L$482</f>
        <v>1049041</v>
      </c>
      <c r="I50" s="167">
        <v>0</v>
      </c>
      <c r="J50" s="167">
        <f>'[14]6.3.3.'!$M$482</f>
        <v>3056128</v>
      </c>
      <c r="K50" s="53">
        <v>0</v>
      </c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</row>
    <row r="51" spans="1:39" s="51" customFormat="1" ht="15" customHeight="1" x14ac:dyDescent="0.25">
      <c r="A51" s="163" t="s">
        <v>66</v>
      </c>
      <c r="B51" s="55" t="s">
        <v>19</v>
      </c>
      <c r="C51" s="167">
        <f>SUM(D51:G51)</f>
        <v>5705848</v>
      </c>
      <c r="D51" s="167">
        <f>'[14]6.3.3.'!$H$504</f>
        <v>0</v>
      </c>
      <c r="E51" s="167">
        <f>'[14]6.3.3.'!$I$504</f>
        <v>5357048</v>
      </c>
      <c r="F51" s="167">
        <f>'[14]6.3.3.'!$J$504</f>
        <v>348800</v>
      </c>
      <c r="G51" s="167">
        <v>0</v>
      </c>
      <c r="H51" s="167">
        <f>'[14]6.3.3.'!$L$504</f>
        <v>0</v>
      </c>
      <c r="I51" s="167">
        <v>0</v>
      </c>
      <c r="J51" s="167">
        <f>'[14]6.3.3.'!$M$504</f>
        <v>5705848</v>
      </c>
      <c r="K51" s="53">
        <v>0</v>
      </c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</row>
    <row r="52" spans="1:39" s="51" customFormat="1" ht="31.5" customHeight="1" x14ac:dyDescent="0.25">
      <c r="A52" s="164" t="s">
        <v>67</v>
      </c>
      <c r="B52" s="57" t="s">
        <v>376</v>
      </c>
      <c r="C52" s="166">
        <f>SUM(C53:C54)</f>
        <v>6506399</v>
      </c>
      <c r="D52" s="166">
        <f t="shared" ref="D52:F52" si="30">SUM(D53:D54)</f>
        <v>5120961</v>
      </c>
      <c r="E52" s="166">
        <f t="shared" si="30"/>
        <v>0</v>
      </c>
      <c r="F52" s="166">
        <f t="shared" si="30"/>
        <v>1385438</v>
      </c>
      <c r="G52" s="166">
        <f t="shared" ref="G52:J52" si="31">SUM(G53:G54)</f>
        <v>0</v>
      </c>
      <c r="H52" s="166">
        <f t="shared" si="31"/>
        <v>0</v>
      </c>
      <c r="I52" s="166">
        <f t="shared" si="31"/>
        <v>0</v>
      </c>
      <c r="J52" s="166">
        <f t="shared" si="31"/>
        <v>6506399</v>
      </c>
      <c r="K52" s="53">
        <v>1622000</v>
      </c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</row>
    <row r="53" spans="1:39" s="51" customFormat="1" ht="15" customHeight="1" x14ac:dyDescent="0.25">
      <c r="A53" s="163" t="s">
        <v>69</v>
      </c>
      <c r="B53" s="55" t="s">
        <v>17</v>
      </c>
      <c r="C53" s="167">
        <f>SUM(D53:G53)</f>
        <v>2540099</v>
      </c>
      <c r="D53" s="167">
        <f>'[14]6.3.3.'!$H$538</f>
        <v>1884961</v>
      </c>
      <c r="E53" s="167">
        <v>0</v>
      </c>
      <c r="F53" s="167">
        <f>'[14]6.3.3.'!$J$538</f>
        <v>655138</v>
      </c>
      <c r="G53" s="167">
        <v>0</v>
      </c>
      <c r="H53" s="167">
        <f>'[14]6.3.3.'!$L$538</f>
        <v>0</v>
      </c>
      <c r="I53" s="167">
        <v>0</v>
      </c>
      <c r="J53" s="167">
        <f>'[14]6.3.3.'!$M$538</f>
        <v>2540099</v>
      </c>
      <c r="K53" s="53">
        <v>1622000</v>
      </c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</row>
    <row r="54" spans="1:39" s="58" customFormat="1" ht="15" customHeight="1" x14ac:dyDescent="0.25">
      <c r="A54" s="163" t="s">
        <v>70</v>
      </c>
      <c r="B54" s="55" t="s">
        <v>19</v>
      </c>
      <c r="C54" s="167">
        <f>SUM(D54:G54)</f>
        <v>3966300</v>
      </c>
      <c r="D54" s="167">
        <f>'[14]6.3.3.'!$H$549</f>
        <v>3236000</v>
      </c>
      <c r="E54" s="167">
        <v>0</v>
      </c>
      <c r="F54" s="167">
        <f>'[14]6.3.3.'!$J$549</f>
        <v>730300</v>
      </c>
      <c r="G54" s="167">
        <v>0</v>
      </c>
      <c r="H54" s="167">
        <f>'[14]6.3.3.'!$L$549</f>
        <v>0</v>
      </c>
      <c r="I54" s="167">
        <v>0</v>
      </c>
      <c r="J54" s="167">
        <f>'[14]6.3.3.'!$M$549</f>
        <v>3966300</v>
      </c>
      <c r="K54" s="53">
        <v>0</v>
      </c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</row>
    <row r="55" spans="1:39" s="56" customFormat="1" ht="39.75" customHeight="1" x14ac:dyDescent="0.25">
      <c r="A55" s="162">
        <v>17</v>
      </c>
      <c r="B55" s="246" t="s">
        <v>377</v>
      </c>
      <c r="C55" s="247">
        <f>SUM(C56:C57)</f>
        <v>8936600</v>
      </c>
      <c r="D55" s="247">
        <f t="shared" ref="D55:F55" si="32">SUM(D56:D57)</f>
        <v>8585081</v>
      </c>
      <c r="E55" s="247">
        <f t="shared" si="32"/>
        <v>351519</v>
      </c>
      <c r="F55" s="247">
        <f t="shared" si="32"/>
        <v>0</v>
      </c>
      <c r="G55" s="247">
        <f t="shared" ref="G55:J55" si="33">SUM(G56:G57)</f>
        <v>0</v>
      </c>
      <c r="H55" s="247">
        <f t="shared" si="33"/>
        <v>7101381</v>
      </c>
      <c r="I55" s="247">
        <f t="shared" si="33"/>
        <v>0</v>
      </c>
      <c r="J55" s="247">
        <f t="shared" si="33"/>
        <v>1835219</v>
      </c>
      <c r="K55" s="53">
        <v>3938300</v>
      </c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</row>
    <row r="56" spans="1:39" s="54" customFormat="1" ht="15" customHeight="1" x14ac:dyDescent="0.25">
      <c r="A56" s="163" t="s">
        <v>72</v>
      </c>
      <c r="B56" s="244" t="s">
        <v>17</v>
      </c>
      <c r="C56" s="245">
        <f>SUM(D56:G56)</f>
        <v>4122612</v>
      </c>
      <c r="D56" s="245">
        <f>'[12]7.3.1'!$D$76</f>
        <v>3940043</v>
      </c>
      <c r="E56" s="245">
        <f>'[12]7.3.1'!$E$76</f>
        <v>182569</v>
      </c>
      <c r="F56" s="245">
        <v>0</v>
      </c>
      <c r="G56" s="245">
        <v>0</v>
      </c>
      <c r="H56" s="245">
        <f>'[12]7.3.1'!$H$76</f>
        <v>3940043</v>
      </c>
      <c r="I56" s="245">
        <v>0</v>
      </c>
      <c r="J56" s="245">
        <f>'[12]7.3.1'!$I$76</f>
        <v>182569</v>
      </c>
      <c r="K56" s="53">
        <v>0</v>
      </c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</row>
    <row r="57" spans="1:39" s="51" customFormat="1" ht="15" customHeight="1" x14ac:dyDescent="0.25">
      <c r="A57" s="163" t="s">
        <v>73</v>
      </c>
      <c r="B57" s="244" t="s">
        <v>19</v>
      </c>
      <c r="C57" s="245">
        <f>SUM(D57:G57)</f>
        <v>4813988</v>
      </c>
      <c r="D57" s="245">
        <f>'[12]7.3.1'!$D$77</f>
        <v>4645038</v>
      </c>
      <c r="E57" s="245">
        <f>'[12]7.3.1'!$E$77</f>
        <v>168950</v>
      </c>
      <c r="F57" s="245">
        <v>0</v>
      </c>
      <c r="G57" s="245">
        <v>0</v>
      </c>
      <c r="H57" s="245">
        <f>'[12]7.3.1'!$H$77</f>
        <v>3161338</v>
      </c>
      <c r="I57" s="245">
        <v>0</v>
      </c>
      <c r="J57" s="245">
        <f>'[12]7.3.1'!$I$77</f>
        <v>1652650</v>
      </c>
      <c r="K57" s="53">
        <v>3938300</v>
      </c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</row>
    <row r="58" spans="1:39" s="56" customFormat="1" ht="33" customHeight="1" x14ac:dyDescent="0.25">
      <c r="A58" s="162">
        <v>18</v>
      </c>
      <c r="B58" s="57" t="s">
        <v>378</v>
      </c>
      <c r="C58" s="166">
        <f>SUM(C59:C60)</f>
        <v>4077669</v>
      </c>
      <c r="D58" s="166">
        <f t="shared" ref="D58:F58" si="34">SUM(D59:D60)</f>
        <v>4077669</v>
      </c>
      <c r="E58" s="166">
        <f t="shared" si="34"/>
        <v>0</v>
      </c>
      <c r="F58" s="166">
        <f t="shared" si="34"/>
        <v>0</v>
      </c>
      <c r="G58" s="166">
        <f t="shared" ref="G58:J58" si="35">SUM(G59:G60)</f>
        <v>0</v>
      </c>
      <c r="H58" s="166">
        <f t="shared" si="35"/>
        <v>0</v>
      </c>
      <c r="I58" s="166">
        <f t="shared" si="35"/>
        <v>0</v>
      </c>
      <c r="J58" s="166">
        <f t="shared" si="35"/>
        <v>4077669</v>
      </c>
      <c r="K58" s="53">
        <v>3770500</v>
      </c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</row>
    <row r="59" spans="1:39" s="54" customFormat="1" ht="15" customHeight="1" x14ac:dyDescent="0.25">
      <c r="A59" s="163" t="s">
        <v>75</v>
      </c>
      <c r="B59" s="55" t="s">
        <v>17</v>
      </c>
      <c r="C59" s="167">
        <f>SUM(D59:G59)</f>
        <v>1885600</v>
      </c>
      <c r="D59" s="167">
        <f>'[14]6.3.3.'!$H$605</f>
        <v>1885600</v>
      </c>
      <c r="E59" s="167">
        <v>0</v>
      </c>
      <c r="F59" s="167">
        <v>0</v>
      </c>
      <c r="G59" s="167">
        <v>0</v>
      </c>
      <c r="H59" s="167">
        <f>'[14]6.3.3.'!$L$605</f>
        <v>0</v>
      </c>
      <c r="I59" s="167">
        <v>0</v>
      </c>
      <c r="J59" s="167">
        <f>'[14]6.3.3.'!$M$605</f>
        <v>1885600</v>
      </c>
      <c r="K59" s="53">
        <v>3187500</v>
      </c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</row>
    <row r="60" spans="1:39" s="51" customFormat="1" ht="15" customHeight="1" x14ac:dyDescent="0.25">
      <c r="A60" s="163" t="s">
        <v>76</v>
      </c>
      <c r="B60" s="55" t="s">
        <v>19</v>
      </c>
      <c r="C60" s="167">
        <f>SUM(D60:G60)</f>
        <v>2192069</v>
      </c>
      <c r="D60" s="167">
        <f>'[14]6.3.3.'!$H$613</f>
        <v>2192069</v>
      </c>
      <c r="E60" s="167">
        <v>0</v>
      </c>
      <c r="F60" s="167">
        <v>0</v>
      </c>
      <c r="G60" s="167">
        <v>0</v>
      </c>
      <c r="H60" s="167">
        <f>'[14]6.3.3.'!$L$613</f>
        <v>0</v>
      </c>
      <c r="I60" s="167">
        <v>0</v>
      </c>
      <c r="J60" s="167">
        <f>'[14]6.3.3.'!$M$613</f>
        <v>2192069</v>
      </c>
      <c r="K60" s="53">
        <v>583000</v>
      </c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</row>
    <row r="61" spans="1:39" s="51" customFormat="1" ht="48" customHeight="1" x14ac:dyDescent="0.25">
      <c r="A61" s="164" t="s">
        <v>77</v>
      </c>
      <c r="B61" s="57" t="s">
        <v>379</v>
      </c>
      <c r="C61" s="166">
        <f>SUM(C62:C63)</f>
        <v>4493176</v>
      </c>
      <c r="D61" s="166">
        <f t="shared" ref="D61:F61" si="36">SUM(D62:D63)</f>
        <v>4493176</v>
      </c>
      <c r="E61" s="166">
        <f t="shared" si="36"/>
        <v>0</v>
      </c>
      <c r="F61" s="166">
        <f t="shared" si="36"/>
        <v>0</v>
      </c>
      <c r="G61" s="166">
        <f t="shared" ref="G61:J61" si="37">SUM(G62:G63)</f>
        <v>0</v>
      </c>
      <c r="H61" s="166">
        <f t="shared" si="37"/>
        <v>0</v>
      </c>
      <c r="I61" s="166">
        <f t="shared" si="37"/>
        <v>0</v>
      </c>
      <c r="J61" s="166">
        <f t="shared" si="37"/>
        <v>4493176</v>
      </c>
      <c r="K61" s="53">
        <v>0</v>
      </c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</row>
    <row r="62" spans="1:39" s="51" customFormat="1" ht="15" customHeight="1" x14ac:dyDescent="0.25">
      <c r="A62" s="163" t="s">
        <v>79</v>
      </c>
      <c r="B62" s="55" t="s">
        <v>17</v>
      </c>
      <c r="C62" s="167">
        <f>SUM(D62:G62)</f>
        <v>2127876</v>
      </c>
      <c r="D62" s="167">
        <f>'[14]6.3.3.'!$H$632</f>
        <v>2127876</v>
      </c>
      <c r="E62" s="167">
        <v>0</v>
      </c>
      <c r="F62" s="167">
        <v>0</v>
      </c>
      <c r="G62" s="167">
        <v>0</v>
      </c>
      <c r="H62" s="167">
        <f>'[14]6.3.3.'!$L$632</f>
        <v>0</v>
      </c>
      <c r="I62" s="167">
        <v>0</v>
      </c>
      <c r="J62" s="167">
        <f>'[14]6.3.3.'!$M$632</f>
        <v>2127876</v>
      </c>
      <c r="K62" s="53">
        <v>0</v>
      </c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</row>
    <row r="63" spans="1:39" s="58" customFormat="1" ht="15" customHeight="1" x14ac:dyDescent="0.25">
      <c r="A63" s="163" t="s">
        <v>80</v>
      </c>
      <c r="B63" s="55" t="s">
        <v>19</v>
      </c>
      <c r="C63" s="167">
        <f>SUM(D63:G63)</f>
        <v>2365300</v>
      </c>
      <c r="D63" s="167">
        <f>'[14]6.3.3.'!$H$640</f>
        <v>2365300</v>
      </c>
      <c r="E63" s="167">
        <v>0</v>
      </c>
      <c r="F63" s="167">
        <v>0</v>
      </c>
      <c r="G63" s="167">
        <v>0</v>
      </c>
      <c r="H63" s="167">
        <f>'[14]6.3.3.'!$L$640</f>
        <v>0</v>
      </c>
      <c r="I63" s="167">
        <v>0</v>
      </c>
      <c r="J63" s="167">
        <f>'[14]6.3.3.'!$M$640</f>
        <v>2365300</v>
      </c>
      <c r="K63" s="53">
        <v>0</v>
      </c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</row>
    <row r="64" spans="1:39" s="56" customFormat="1" ht="15" customHeight="1" x14ac:dyDescent="0.25">
      <c r="A64" s="162">
        <v>20</v>
      </c>
      <c r="B64" s="57" t="s">
        <v>380</v>
      </c>
      <c r="C64" s="166">
        <f>SUM(C65:C66)</f>
        <v>4501767.9000000004</v>
      </c>
      <c r="D64" s="166">
        <f t="shared" ref="D64:F64" si="38">SUM(D65:D66)</f>
        <v>4501767.9000000004</v>
      </c>
      <c r="E64" s="166">
        <f t="shared" si="38"/>
        <v>0</v>
      </c>
      <c r="F64" s="166">
        <f t="shared" si="38"/>
        <v>0</v>
      </c>
      <c r="G64" s="166">
        <f t="shared" ref="G64:J64" si="39">SUM(G65:G66)</f>
        <v>0</v>
      </c>
      <c r="H64" s="166">
        <f t="shared" si="39"/>
        <v>0</v>
      </c>
      <c r="I64" s="166">
        <f t="shared" si="39"/>
        <v>0</v>
      </c>
      <c r="J64" s="166">
        <f t="shared" si="39"/>
        <v>4501767.9000000004</v>
      </c>
      <c r="K64" s="53">
        <v>0</v>
      </c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</row>
    <row r="65" spans="1:83" s="54" customFormat="1" ht="15" customHeight="1" x14ac:dyDescent="0.25">
      <c r="A65" s="163" t="s">
        <v>82</v>
      </c>
      <c r="B65" s="55" t="s">
        <v>17</v>
      </c>
      <c r="C65" s="167">
        <f>SUM(D65:G65)</f>
        <v>1924259.9</v>
      </c>
      <c r="D65" s="167">
        <f>'[14]6.3.3.'!$H$658</f>
        <v>1924259.9</v>
      </c>
      <c r="E65" s="167">
        <v>0</v>
      </c>
      <c r="F65" s="167">
        <v>0</v>
      </c>
      <c r="G65" s="167">
        <v>0</v>
      </c>
      <c r="H65" s="167">
        <v>0</v>
      </c>
      <c r="I65" s="167">
        <v>0</v>
      </c>
      <c r="J65" s="167">
        <f>'[14]6.3.3.'!$M$658</f>
        <v>1924259.9</v>
      </c>
      <c r="K65" s="53">
        <v>0</v>
      </c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</row>
    <row r="66" spans="1:83" s="51" customFormat="1" ht="15" customHeight="1" x14ac:dyDescent="0.25">
      <c r="A66" s="163" t="s">
        <v>83</v>
      </c>
      <c r="B66" s="55" t="s">
        <v>19</v>
      </c>
      <c r="C66" s="167">
        <f>SUM(D66:G66)</f>
        <v>2577508</v>
      </c>
      <c r="D66" s="167">
        <f>'[14]6.3.3.'!$H$667</f>
        <v>2577508</v>
      </c>
      <c r="E66" s="167">
        <v>0</v>
      </c>
      <c r="F66" s="167">
        <v>0</v>
      </c>
      <c r="G66" s="167">
        <v>0</v>
      </c>
      <c r="H66" s="167">
        <v>0</v>
      </c>
      <c r="I66" s="167">
        <v>0</v>
      </c>
      <c r="J66" s="167">
        <f>'[14]6.3.3.'!$M$667</f>
        <v>2577508</v>
      </c>
      <c r="K66" s="53">
        <v>0</v>
      </c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</row>
    <row r="67" spans="1:83" s="56" customFormat="1" ht="30.75" customHeight="1" x14ac:dyDescent="0.25">
      <c r="A67" s="162">
        <v>21</v>
      </c>
      <c r="B67" s="57" t="s">
        <v>381</v>
      </c>
      <c r="C67" s="166">
        <f>SUM(C68:C69)</f>
        <v>0</v>
      </c>
      <c r="D67" s="166">
        <f t="shared" ref="D67:F67" si="40">SUM(D68:D69)</f>
        <v>0</v>
      </c>
      <c r="E67" s="166">
        <f t="shared" si="40"/>
        <v>0</v>
      </c>
      <c r="F67" s="166">
        <f t="shared" si="40"/>
        <v>0</v>
      </c>
      <c r="G67" s="166">
        <f t="shared" ref="G67:J67" si="41">SUM(G68:G69)</f>
        <v>0</v>
      </c>
      <c r="H67" s="166">
        <f t="shared" si="41"/>
        <v>0</v>
      </c>
      <c r="I67" s="166">
        <f t="shared" si="41"/>
        <v>0</v>
      </c>
      <c r="J67" s="166">
        <f t="shared" si="41"/>
        <v>0</v>
      </c>
      <c r="K67" s="53">
        <v>0</v>
      </c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</row>
    <row r="68" spans="1:83" s="54" customFormat="1" ht="15" customHeight="1" x14ac:dyDescent="0.25">
      <c r="A68" s="163" t="s">
        <v>85</v>
      </c>
      <c r="B68" s="55" t="s">
        <v>17</v>
      </c>
      <c r="C68" s="167">
        <f>SUM(D68:G68)</f>
        <v>0</v>
      </c>
      <c r="D68" s="167">
        <v>0</v>
      </c>
      <c r="E68" s="167">
        <v>0</v>
      </c>
      <c r="F68" s="167">
        <v>0</v>
      </c>
      <c r="G68" s="167">
        <v>0</v>
      </c>
      <c r="H68" s="167">
        <v>0</v>
      </c>
      <c r="I68" s="167">
        <v>0</v>
      </c>
      <c r="J68" s="167">
        <v>0</v>
      </c>
      <c r="K68" s="53">
        <v>0</v>
      </c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</row>
    <row r="69" spans="1:83" s="51" customFormat="1" ht="15" customHeight="1" x14ac:dyDescent="0.25">
      <c r="A69" s="163" t="s">
        <v>86</v>
      </c>
      <c r="B69" s="55" t="s">
        <v>19</v>
      </c>
      <c r="C69" s="167">
        <f>SUM(D69:G69)</f>
        <v>0</v>
      </c>
      <c r="D69" s="167">
        <v>0</v>
      </c>
      <c r="E69" s="167">
        <v>0</v>
      </c>
      <c r="F69" s="167">
        <v>0</v>
      </c>
      <c r="G69" s="167">
        <v>0</v>
      </c>
      <c r="H69" s="167">
        <v>0</v>
      </c>
      <c r="I69" s="167">
        <v>0</v>
      </c>
      <c r="J69" s="167">
        <v>0</v>
      </c>
      <c r="K69" s="53">
        <v>0</v>
      </c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</row>
    <row r="70" spans="1:83" s="51" customFormat="1" ht="34.5" customHeight="1" x14ac:dyDescent="0.25">
      <c r="A70" s="164" t="s">
        <v>87</v>
      </c>
      <c r="B70" s="57" t="s">
        <v>382</v>
      </c>
      <c r="C70" s="166">
        <f>SUM(C71:C72)</f>
        <v>6031907.4000000004</v>
      </c>
      <c r="D70" s="166">
        <f t="shared" ref="D70:G70" si="42">SUM(D71:D72)</f>
        <v>1854117</v>
      </c>
      <c r="E70" s="166">
        <f t="shared" si="42"/>
        <v>3398009</v>
      </c>
      <c r="F70" s="166">
        <f t="shared" si="42"/>
        <v>779781.4</v>
      </c>
      <c r="G70" s="166">
        <f t="shared" si="42"/>
        <v>0</v>
      </c>
      <c r="H70" s="166">
        <f t="shared" ref="H70:J70" si="43">SUM(H71:H72)</f>
        <v>1854117</v>
      </c>
      <c r="I70" s="166">
        <f t="shared" si="43"/>
        <v>0</v>
      </c>
      <c r="J70" s="166">
        <f t="shared" si="43"/>
        <v>4177790.4</v>
      </c>
      <c r="K70" s="53">
        <v>1378000</v>
      </c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</row>
    <row r="71" spans="1:83" s="51" customFormat="1" ht="15" customHeight="1" x14ac:dyDescent="0.25">
      <c r="A71" s="163" t="s">
        <v>89</v>
      </c>
      <c r="B71" s="55" t="s">
        <v>17</v>
      </c>
      <c r="C71" s="167">
        <f>SUM(D71:G71)</f>
        <v>2619069.4</v>
      </c>
      <c r="D71" s="167">
        <f>'[14]6.3.3.'!$H$713</f>
        <v>678117</v>
      </c>
      <c r="E71" s="167">
        <f>'[14]6.3.3.'!$I$713</f>
        <v>1161171</v>
      </c>
      <c r="F71" s="167">
        <f>'[14]6.3.3.'!$J$713</f>
        <v>779781.4</v>
      </c>
      <c r="G71" s="167">
        <v>0</v>
      </c>
      <c r="H71" s="167">
        <f>'[14]6.3.3.'!$L$713</f>
        <v>678117</v>
      </c>
      <c r="I71" s="167">
        <v>0</v>
      </c>
      <c r="J71" s="167">
        <f>'[14]6.3.3.'!$M$713</f>
        <v>1940952.4</v>
      </c>
      <c r="K71" s="53">
        <v>0</v>
      </c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</row>
    <row r="72" spans="1:83" s="58" customFormat="1" ht="15" customHeight="1" x14ac:dyDescent="0.25">
      <c r="A72" s="163" t="s">
        <v>90</v>
      </c>
      <c r="B72" s="55" t="s">
        <v>19</v>
      </c>
      <c r="C72" s="167">
        <f>SUM(D72:G72)</f>
        <v>3412838</v>
      </c>
      <c r="D72" s="167">
        <f>'[14]6.3.3.'!$H$730</f>
        <v>1176000</v>
      </c>
      <c r="E72" s="167">
        <f>'[14]6.3.3.'!$I$730</f>
        <v>2236838</v>
      </c>
      <c r="F72" s="167">
        <v>0</v>
      </c>
      <c r="G72" s="167">
        <v>0</v>
      </c>
      <c r="H72" s="167">
        <f>'[14]6.3.3.'!$L$730</f>
        <v>1176000</v>
      </c>
      <c r="I72" s="167">
        <v>0</v>
      </c>
      <c r="J72" s="167">
        <f>'[14]6.3.3.'!$M$730</f>
        <v>2236838</v>
      </c>
      <c r="K72" s="53">
        <v>1378000</v>
      </c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</row>
    <row r="73" spans="1:83" s="56" customFormat="1" ht="15" customHeight="1" x14ac:dyDescent="0.25">
      <c r="A73" s="162">
        <v>23</v>
      </c>
      <c r="B73" s="246" t="s">
        <v>383</v>
      </c>
      <c r="C73" s="247">
        <f>SUM(C74:C75)</f>
        <v>6194368.0999999996</v>
      </c>
      <c r="D73" s="247">
        <f t="shared" ref="D73:F73" si="44">SUM(D74:D75)</f>
        <v>5396488.0999999996</v>
      </c>
      <c r="E73" s="247">
        <f t="shared" si="44"/>
        <v>797880</v>
      </c>
      <c r="F73" s="247">
        <f t="shared" si="44"/>
        <v>0</v>
      </c>
      <c r="G73" s="247">
        <f t="shared" ref="G73:J73" si="45">SUM(G74:G75)</f>
        <v>0</v>
      </c>
      <c r="H73" s="247">
        <f t="shared" si="45"/>
        <v>4106438.1</v>
      </c>
      <c r="I73" s="247">
        <f t="shared" si="45"/>
        <v>0</v>
      </c>
      <c r="J73" s="247">
        <f t="shared" si="45"/>
        <v>2087930</v>
      </c>
      <c r="K73" s="53">
        <v>0</v>
      </c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</row>
    <row r="74" spans="1:83" s="54" customFormat="1" ht="15" customHeight="1" x14ac:dyDescent="0.25">
      <c r="A74" s="163" t="s">
        <v>92</v>
      </c>
      <c r="B74" s="244" t="s">
        <v>17</v>
      </c>
      <c r="C74" s="245">
        <f>SUM(D74:G74)</f>
        <v>1753699.1</v>
      </c>
      <c r="D74" s="245">
        <f>'[12]7.3.1'!$D$100</f>
        <v>1753699.1</v>
      </c>
      <c r="E74" s="245">
        <v>0</v>
      </c>
      <c r="F74" s="245">
        <v>0</v>
      </c>
      <c r="G74" s="245">
        <v>0</v>
      </c>
      <c r="H74" s="245">
        <f>'[12]7.3.1'!$H$100</f>
        <v>1345459.1</v>
      </c>
      <c r="I74" s="245">
        <v>0</v>
      </c>
      <c r="J74" s="245">
        <f>'[12]7.3.1'!$I$100</f>
        <v>408240</v>
      </c>
      <c r="K74" s="53">
        <v>0</v>
      </c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</row>
    <row r="75" spans="1:83" s="51" customFormat="1" ht="15" customHeight="1" x14ac:dyDescent="0.25">
      <c r="A75" s="163" t="s">
        <v>93</v>
      </c>
      <c r="B75" s="244" t="s">
        <v>19</v>
      </c>
      <c r="C75" s="245">
        <f>SUM(D75:G75)</f>
        <v>4440669</v>
      </c>
      <c r="D75" s="245">
        <f>'[12]7.3.1'!$D$101</f>
        <v>3642789</v>
      </c>
      <c r="E75" s="245">
        <f>'[12]7.3.1'!$E$101</f>
        <v>797880</v>
      </c>
      <c r="F75" s="245">
        <v>0</v>
      </c>
      <c r="G75" s="245">
        <v>0</v>
      </c>
      <c r="H75" s="245">
        <f>'[12]7.3.1'!$H$101</f>
        <v>2760979</v>
      </c>
      <c r="I75" s="245">
        <v>0</v>
      </c>
      <c r="J75" s="245">
        <f>'[12]7.3.1'!$I$101</f>
        <v>1679690</v>
      </c>
      <c r="K75" s="53">
        <v>0</v>
      </c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</row>
    <row r="76" spans="1:83" s="56" customFormat="1" ht="35.25" customHeight="1" x14ac:dyDescent="0.25">
      <c r="A76" s="162">
        <v>24</v>
      </c>
      <c r="B76" s="57" t="s">
        <v>384</v>
      </c>
      <c r="C76" s="166">
        <f>SUM(C77:C78)</f>
        <v>5423738</v>
      </c>
      <c r="D76" s="166">
        <f t="shared" ref="D76:F76" si="46">SUM(D77:D78)</f>
        <v>5042238</v>
      </c>
      <c r="E76" s="166">
        <f t="shared" si="46"/>
        <v>381500</v>
      </c>
      <c r="F76" s="166">
        <f t="shared" si="46"/>
        <v>0</v>
      </c>
      <c r="G76" s="166">
        <f t="shared" ref="G76:J76" si="47">SUM(G77:G78)</f>
        <v>0</v>
      </c>
      <c r="H76" s="166">
        <f t="shared" si="47"/>
        <v>3856863</v>
      </c>
      <c r="I76" s="166">
        <f t="shared" si="47"/>
        <v>0</v>
      </c>
      <c r="J76" s="166">
        <f t="shared" si="47"/>
        <v>1566875</v>
      </c>
      <c r="K76" s="53">
        <v>3500000</v>
      </c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</row>
    <row r="77" spans="1:83" s="54" customFormat="1" ht="15" customHeight="1" x14ac:dyDescent="0.25">
      <c r="A77" s="163" t="s">
        <v>95</v>
      </c>
      <c r="B77" s="55" t="s">
        <v>17</v>
      </c>
      <c r="C77" s="167">
        <f>SUM(D77:G77)</f>
        <v>600869</v>
      </c>
      <c r="D77" s="167">
        <f>'[14]6.3.3.'!$H$789</f>
        <v>600869</v>
      </c>
      <c r="E77" s="167">
        <v>0</v>
      </c>
      <c r="F77" s="167">
        <v>0</v>
      </c>
      <c r="G77" s="167">
        <v>0</v>
      </c>
      <c r="H77" s="167">
        <f>'[14]6.3.3.'!$L$789</f>
        <v>600869</v>
      </c>
      <c r="I77" s="167">
        <v>0</v>
      </c>
      <c r="J77" s="167">
        <v>0</v>
      </c>
      <c r="K77" s="53">
        <v>0</v>
      </c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</row>
    <row r="78" spans="1:83" s="51" customFormat="1" ht="15" customHeight="1" x14ac:dyDescent="0.25">
      <c r="A78" s="163" t="s">
        <v>96</v>
      </c>
      <c r="B78" s="55" t="s">
        <v>19</v>
      </c>
      <c r="C78" s="167">
        <f>SUM(D78:G78)</f>
        <v>4822869</v>
      </c>
      <c r="D78" s="167">
        <f>'[14]6.3.3.'!$H$797</f>
        <v>4441369</v>
      </c>
      <c r="E78" s="167">
        <f>'[14]6.3.3.'!$I$797</f>
        <v>381500</v>
      </c>
      <c r="F78" s="167">
        <v>0</v>
      </c>
      <c r="G78" s="167">
        <v>0</v>
      </c>
      <c r="H78" s="167">
        <f>'[14]6.3.3.'!$L$797</f>
        <v>3255994</v>
      </c>
      <c r="I78" s="167">
        <v>0</v>
      </c>
      <c r="J78" s="167">
        <f>'[14]6.3.3.'!$M$797</f>
        <v>1566875</v>
      </c>
      <c r="K78" s="53">
        <v>3500000</v>
      </c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</row>
    <row r="79" spans="1:83" s="56" customFormat="1" ht="48" customHeight="1" x14ac:dyDescent="0.25">
      <c r="A79" s="162">
        <v>25</v>
      </c>
      <c r="B79" s="57" t="s">
        <v>385</v>
      </c>
      <c r="C79" s="166">
        <f>SUM(C80:C81)</f>
        <v>5096643.4000000004</v>
      </c>
      <c r="D79" s="166">
        <f t="shared" ref="D79:F79" si="48">SUM(D80:D81)</f>
        <v>0</v>
      </c>
      <c r="E79" s="166">
        <f t="shared" si="48"/>
        <v>1899584.4</v>
      </c>
      <c r="F79" s="166">
        <f t="shared" si="48"/>
        <v>3197059</v>
      </c>
      <c r="G79" s="166">
        <f t="shared" ref="G79:J79" si="49">SUM(G80:G81)</f>
        <v>0</v>
      </c>
      <c r="H79" s="166">
        <f t="shared" si="49"/>
        <v>0</v>
      </c>
      <c r="I79" s="166">
        <f t="shared" si="49"/>
        <v>0</v>
      </c>
      <c r="J79" s="166">
        <f t="shared" si="49"/>
        <v>5096643.4000000004</v>
      </c>
      <c r="K79" s="53">
        <v>4706142</v>
      </c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</row>
    <row r="80" spans="1:83" s="54" customFormat="1" ht="15" customHeight="1" x14ac:dyDescent="0.25">
      <c r="A80" s="163" t="s">
        <v>98</v>
      </c>
      <c r="B80" s="55" t="s">
        <v>17</v>
      </c>
      <c r="C80" s="167">
        <f>SUM(D80:G80)</f>
        <v>2021024.4</v>
      </c>
      <c r="D80" s="167">
        <f>'[14]6.3.3.'!$H$822</f>
        <v>0</v>
      </c>
      <c r="E80" s="167">
        <f>'[14]6.3.3.'!$I$822</f>
        <v>673009.4</v>
      </c>
      <c r="F80" s="167">
        <f>'[14]6.3.3.'!$J$822</f>
        <v>1348015</v>
      </c>
      <c r="G80" s="167">
        <f>'[14]6.3.3.'!$K$822</f>
        <v>0</v>
      </c>
      <c r="H80" s="167">
        <f>'[14]6.3.3.'!$L$822</f>
        <v>0</v>
      </c>
      <c r="I80" s="167">
        <v>0</v>
      </c>
      <c r="J80" s="167">
        <f>'[14]6.3.3.'!$M$822</f>
        <v>2021024.4</v>
      </c>
      <c r="K80" s="53">
        <v>4706142</v>
      </c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</row>
    <row r="81" spans="1:83" s="51" customFormat="1" ht="15" customHeight="1" x14ac:dyDescent="0.25">
      <c r="A81" s="163" t="s">
        <v>99</v>
      </c>
      <c r="B81" s="55" t="s">
        <v>19</v>
      </c>
      <c r="C81" s="167">
        <f>SUM(D81:G81)</f>
        <v>3075619</v>
      </c>
      <c r="D81" s="167">
        <f>'[14]6.3.3.'!$H$833</f>
        <v>0</v>
      </c>
      <c r="E81" s="167">
        <f>'[14]6.3.3.'!$I$833</f>
        <v>1226575</v>
      </c>
      <c r="F81" s="167">
        <f>'[14]6.3.3.'!$J$833</f>
        <v>1849044</v>
      </c>
      <c r="G81" s="167">
        <f>'[14]6.3.3.'!$K$833</f>
        <v>0</v>
      </c>
      <c r="H81" s="167">
        <f>'[14]6.3.3.'!$L$833</f>
        <v>0</v>
      </c>
      <c r="I81" s="167">
        <v>0</v>
      </c>
      <c r="J81" s="167">
        <f>'[14]6.3.3.'!$M$833</f>
        <v>3075619</v>
      </c>
      <c r="K81" s="53">
        <v>0</v>
      </c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</row>
    <row r="82" spans="1:83" s="56" customFormat="1" ht="48.75" customHeight="1" x14ac:dyDescent="0.25">
      <c r="A82" s="162">
        <v>26</v>
      </c>
      <c r="B82" s="57" t="s">
        <v>386</v>
      </c>
      <c r="C82" s="166">
        <f>SUM(C83:C84)</f>
        <v>5657178</v>
      </c>
      <c r="D82" s="166">
        <f t="shared" ref="D82:G82" si="50">SUM(D83:D84)</f>
        <v>3114219</v>
      </c>
      <c r="E82" s="166">
        <f t="shared" si="50"/>
        <v>2282959</v>
      </c>
      <c r="F82" s="166">
        <f t="shared" si="50"/>
        <v>260000</v>
      </c>
      <c r="G82" s="166">
        <f t="shared" si="50"/>
        <v>0</v>
      </c>
      <c r="H82" s="166">
        <f t="shared" ref="H82:J82" si="51">SUM(H83:H84)</f>
        <v>0</v>
      </c>
      <c r="I82" s="166">
        <f t="shared" si="51"/>
        <v>0</v>
      </c>
      <c r="J82" s="166">
        <f t="shared" si="51"/>
        <v>5657178</v>
      </c>
      <c r="K82" s="53">
        <v>0</v>
      </c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3"/>
      <c r="CA82" s="53"/>
      <c r="CB82" s="53"/>
      <c r="CC82" s="53"/>
      <c r="CD82" s="53"/>
      <c r="CE82" s="53"/>
    </row>
    <row r="83" spans="1:83" s="54" customFormat="1" ht="15" customHeight="1" x14ac:dyDescent="0.25">
      <c r="A83" s="163" t="s">
        <v>101</v>
      </c>
      <c r="B83" s="55" t="s">
        <v>17</v>
      </c>
      <c r="C83" s="167">
        <f>SUM(D83:G83)</f>
        <v>683000</v>
      </c>
      <c r="D83" s="167">
        <f>'[14]6.3.3.'!$H$851</f>
        <v>423000</v>
      </c>
      <c r="E83" s="167">
        <v>0</v>
      </c>
      <c r="F83" s="167">
        <f>'[14]6.3.3.'!$J$851</f>
        <v>260000</v>
      </c>
      <c r="G83" s="167">
        <v>0</v>
      </c>
      <c r="H83" s="167">
        <f>'[14]6.3.3.'!$L$851</f>
        <v>0</v>
      </c>
      <c r="I83" s="167">
        <v>0</v>
      </c>
      <c r="J83" s="167">
        <f>'[14]6.3.3.'!$M$851</f>
        <v>683000</v>
      </c>
      <c r="K83" s="53">
        <v>0</v>
      </c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</row>
    <row r="84" spans="1:83" s="51" customFormat="1" ht="15" customHeight="1" x14ac:dyDescent="0.25">
      <c r="A84" s="163" t="s">
        <v>102</v>
      </c>
      <c r="B84" s="55" t="s">
        <v>19</v>
      </c>
      <c r="C84" s="167">
        <f>SUM(D84:G84)</f>
        <v>4974178</v>
      </c>
      <c r="D84" s="167">
        <f>'[14]6.3.3.'!$H$860</f>
        <v>2691219</v>
      </c>
      <c r="E84" s="167">
        <f>'[14]6.3.3.'!$I$860</f>
        <v>2282959</v>
      </c>
      <c r="F84" s="167">
        <f>'[14]6.3.3.'!$J$860</f>
        <v>0</v>
      </c>
      <c r="G84" s="167">
        <v>0</v>
      </c>
      <c r="H84" s="167">
        <f>'[14]6.3.3.'!$L$860</f>
        <v>0</v>
      </c>
      <c r="I84" s="167">
        <v>0</v>
      </c>
      <c r="J84" s="167">
        <f>'[14]6.3.3.'!$M$860</f>
        <v>4974178</v>
      </c>
      <c r="K84" s="53">
        <v>0</v>
      </c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</row>
    <row r="85" spans="1:83" s="56" customFormat="1" ht="50.25" customHeight="1" x14ac:dyDescent="0.25">
      <c r="A85" s="162">
        <v>27</v>
      </c>
      <c r="B85" s="246" t="s">
        <v>387</v>
      </c>
      <c r="C85" s="247">
        <f>SUM(C86:C87)</f>
        <v>3638998.2</v>
      </c>
      <c r="D85" s="247">
        <f t="shared" ref="D85:G85" si="52">SUM(D86:D87)</f>
        <v>3569689</v>
      </c>
      <c r="E85" s="247">
        <f t="shared" si="52"/>
        <v>0</v>
      </c>
      <c r="F85" s="247">
        <f t="shared" si="52"/>
        <v>69309.2</v>
      </c>
      <c r="G85" s="247">
        <f t="shared" si="52"/>
        <v>0</v>
      </c>
      <c r="H85" s="247">
        <f t="shared" ref="H85:J85" si="53">SUM(H86:H87)</f>
        <v>2516177</v>
      </c>
      <c r="I85" s="247">
        <f t="shared" si="53"/>
        <v>0</v>
      </c>
      <c r="J85" s="247">
        <f t="shared" si="53"/>
        <v>1122821.2</v>
      </c>
      <c r="K85" s="53">
        <v>0</v>
      </c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  <c r="BZ85" s="53"/>
      <c r="CA85" s="53"/>
      <c r="CB85" s="53"/>
      <c r="CC85" s="53"/>
      <c r="CD85" s="53"/>
      <c r="CE85" s="53"/>
    </row>
    <row r="86" spans="1:83" s="54" customFormat="1" ht="15" customHeight="1" x14ac:dyDescent="0.25">
      <c r="A86" s="163" t="s">
        <v>104</v>
      </c>
      <c r="B86" s="244" t="s">
        <v>17</v>
      </c>
      <c r="C86" s="245">
        <f>SUM(D86:G86)</f>
        <v>186060.2</v>
      </c>
      <c r="D86" s="245">
        <f>'[12]7.3.1'!$D$116</f>
        <v>116751</v>
      </c>
      <c r="E86" s="245">
        <v>0</v>
      </c>
      <c r="F86" s="245">
        <f>'[12]7.3.1'!$F$116</f>
        <v>69309.2</v>
      </c>
      <c r="G86" s="245">
        <v>0</v>
      </c>
      <c r="H86" s="245">
        <f>'[12]7.3.1'!$H$116</f>
        <v>116751</v>
      </c>
      <c r="I86" s="245">
        <v>0</v>
      </c>
      <c r="J86" s="245">
        <f>'[12]7.3.1'!$I$116</f>
        <v>69309.2</v>
      </c>
      <c r="K86" s="53">
        <v>0</v>
      </c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52"/>
    </row>
    <row r="87" spans="1:83" s="51" customFormat="1" ht="15" customHeight="1" x14ac:dyDescent="0.25">
      <c r="A87" s="163" t="s">
        <v>105</v>
      </c>
      <c r="B87" s="244" t="s">
        <v>19</v>
      </c>
      <c r="C87" s="245">
        <f>SUM(D87:G87)</f>
        <v>3452938</v>
      </c>
      <c r="D87" s="245">
        <f>'[12]7.3.1'!$D$117</f>
        <v>3452938</v>
      </c>
      <c r="E87" s="245">
        <v>0</v>
      </c>
      <c r="F87" s="245">
        <f>'[12]7.3.1'!$F$117</f>
        <v>0</v>
      </c>
      <c r="G87" s="245">
        <v>0</v>
      </c>
      <c r="H87" s="245">
        <f>'[12]7.3.1'!$H$117</f>
        <v>2399426</v>
      </c>
      <c r="I87" s="245">
        <v>0</v>
      </c>
      <c r="J87" s="245">
        <f>'[12]7.3.1'!$I$117</f>
        <v>1053512</v>
      </c>
      <c r="K87" s="53">
        <v>0</v>
      </c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52"/>
    </row>
    <row r="88" spans="1:83" s="56" customFormat="1" ht="39" customHeight="1" x14ac:dyDescent="0.25">
      <c r="A88" s="162">
        <v>28</v>
      </c>
      <c r="B88" s="57" t="s">
        <v>388</v>
      </c>
      <c r="C88" s="166">
        <f>SUM(C89:C90)</f>
        <v>5127852</v>
      </c>
      <c r="D88" s="166">
        <f t="shared" ref="D88:G88" si="54">SUM(D89:D90)</f>
        <v>0</v>
      </c>
      <c r="E88" s="166">
        <f t="shared" si="54"/>
        <v>3275872</v>
      </c>
      <c r="F88" s="166">
        <f t="shared" si="54"/>
        <v>1851980</v>
      </c>
      <c r="G88" s="166">
        <f t="shared" si="54"/>
        <v>0</v>
      </c>
      <c r="H88" s="166">
        <f t="shared" ref="H88:J88" si="55">SUM(H89:H90)</f>
        <v>0</v>
      </c>
      <c r="I88" s="166">
        <f t="shared" si="55"/>
        <v>0</v>
      </c>
      <c r="J88" s="166">
        <f t="shared" si="55"/>
        <v>5127852</v>
      </c>
      <c r="K88" s="53">
        <v>0</v>
      </c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3"/>
      <c r="BS88" s="53"/>
      <c r="BT88" s="53"/>
      <c r="BU88" s="53"/>
      <c r="BV88" s="53"/>
      <c r="BW88" s="53"/>
      <c r="BX88" s="53"/>
      <c r="BY88" s="53"/>
      <c r="BZ88" s="53"/>
      <c r="CA88" s="53"/>
      <c r="CB88" s="53"/>
      <c r="CC88" s="53"/>
      <c r="CD88" s="53"/>
      <c r="CE88" s="53"/>
    </row>
    <row r="89" spans="1:83" s="54" customFormat="1" ht="15" customHeight="1" x14ac:dyDescent="0.25">
      <c r="A89" s="163" t="s">
        <v>107</v>
      </c>
      <c r="B89" s="55" t="s">
        <v>17</v>
      </c>
      <c r="C89" s="167">
        <f>SUM(D89:G89)</f>
        <v>2347183</v>
      </c>
      <c r="D89" s="167">
        <f>'[14]6.3.3.'!$H$913</f>
        <v>0</v>
      </c>
      <c r="E89" s="167">
        <f>'[14]6.3.3.'!$I$913</f>
        <v>1672403</v>
      </c>
      <c r="F89" s="167">
        <f>'[14]6.3.3.'!$J$913</f>
        <v>674780</v>
      </c>
      <c r="G89" s="167">
        <v>0</v>
      </c>
      <c r="H89" s="167">
        <f>'[14]6.3.3.'!$L$913</f>
        <v>0</v>
      </c>
      <c r="I89" s="167">
        <v>0</v>
      </c>
      <c r="J89" s="167">
        <f>'[14]6.3.3.'!$M$913</f>
        <v>2347183</v>
      </c>
      <c r="K89" s="53">
        <v>0</v>
      </c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52"/>
    </row>
    <row r="90" spans="1:83" s="54" customFormat="1" ht="15" customHeight="1" x14ac:dyDescent="0.25">
      <c r="A90" s="163" t="s">
        <v>108</v>
      </c>
      <c r="B90" s="55" t="s">
        <v>19</v>
      </c>
      <c r="C90" s="167">
        <f>SUM(D90:G90)</f>
        <v>2780669</v>
      </c>
      <c r="D90" s="167">
        <f>'[14]6.3.3.'!$H$921</f>
        <v>0</v>
      </c>
      <c r="E90" s="167">
        <f>'[14]6.3.3.'!$I$921</f>
        <v>1603469</v>
      </c>
      <c r="F90" s="167">
        <f>'[14]6.3.3.'!$J$921</f>
        <v>1177200</v>
      </c>
      <c r="G90" s="167">
        <v>0</v>
      </c>
      <c r="H90" s="167">
        <f>'[14]6.3.3.'!$L$921</f>
        <v>0</v>
      </c>
      <c r="I90" s="167">
        <v>0</v>
      </c>
      <c r="J90" s="167">
        <f>'[14]6.3.3.'!$M$921</f>
        <v>2780669</v>
      </c>
      <c r="K90" s="53">
        <v>0</v>
      </c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</row>
    <row r="91" spans="1:83" s="56" customFormat="1" ht="74.25" customHeight="1" x14ac:dyDescent="0.25">
      <c r="A91" s="162">
        <v>29</v>
      </c>
      <c r="B91" s="57" t="s">
        <v>389</v>
      </c>
      <c r="C91" s="166">
        <f>SUM(C92:C93)</f>
        <v>8684598.4000000004</v>
      </c>
      <c r="D91" s="166">
        <f t="shared" ref="D91:G91" si="56">SUM(D92:D93)</f>
        <v>0</v>
      </c>
      <c r="E91" s="166">
        <f t="shared" si="56"/>
        <v>6107759.4000000004</v>
      </c>
      <c r="F91" s="166">
        <f t="shared" si="56"/>
        <v>2576839</v>
      </c>
      <c r="G91" s="166">
        <f t="shared" si="56"/>
        <v>0</v>
      </c>
      <c r="H91" s="166">
        <f t="shared" ref="H91:J91" si="57">SUM(H92:H93)</f>
        <v>0</v>
      </c>
      <c r="I91" s="166">
        <f t="shared" si="57"/>
        <v>0</v>
      </c>
      <c r="J91" s="166">
        <f t="shared" si="57"/>
        <v>8684598.4000000004</v>
      </c>
      <c r="K91" s="53">
        <v>0</v>
      </c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X91" s="53"/>
      <c r="BY91" s="53"/>
      <c r="BZ91" s="53"/>
      <c r="CA91" s="53"/>
      <c r="CB91" s="53"/>
      <c r="CC91" s="53"/>
      <c r="CD91" s="53"/>
      <c r="CE91" s="53"/>
    </row>
    <row r="92" spans="1:83" s="54" customFormat="1" ht="15" customHeight="1" x14ac:dyDescent="0.25">
      <c r="A92" s="163" t="s">
        <v>110</v>
      </c>
      <c r="B92" s="55" t="s">
        <v>17</v>
      </c>
      <c r="C92" s="167">
        <f>SUM(D92:G92)</f>
        <v>3352190.4</v>
      </c>
      <c r="D92" s="167">
        <f>'[14]6.3.3.'!$H$940</f>
        <v>0</v>
      </c>
      <c r="E92" s="167">
        <f>'[14]6.3.3.'!$I$940</f>
        <v>3352190.4</v>
      </c>
      <c r="F92" s="167">
        <v>0</v>
      </c>
      <c r="G92" s="167">
        <v>0</v>
      </c>
      <c r="H92" s="167">
        <f>'[14]6.3.3.'!$L$940</f>
        <v>0</v>
      </c>
      <c r="I92" s="167">
        <v>0</v>
      </c>
      <c r="J92" s="167">
        <f>'[14]6.3.3.'!$M$940</f>
        <v>3352190.4</v>
      </c>
      <c r="K92" s="53">
        <v>0</v>
      </c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</row>
    <row r="93" spans="1:83" s="54" customFormat="1" ht="22.5" customHeight="1" x14ac:dyDescent="0.25">
      <c r="A93" s="163" t="s">
        <v>111</v>
      </c>
      <c r="B93" s="55" t="s">
        <v>19</v>
      </c>
      <c r="C93" s="167">
        <f>SUM(D93:G93)</f>
        <v>5332408</v>
      </c>
      <c r="D93" s="167">
        <f>'[14]6.3.3.'!$H$954</f>
        <v>0</v>
      </c>
      <c r="E93" s="167">
        <f>'[14]6.3.3.'!$I$954</f>
        <v>2755569</v>
      </c>
      <c r="F93" s="167">
        <f>'[14]6.3.3.'!$J$954</f>
        <v>2576839</v>
      </c>
      <c r="G93" s="167">
        <v>0</v>
      </c>
      <c r="H93" s="167">
        <f>'[14]6.3.3.'!$L$954</f>
        <v>0</v>
      </c>
      <c r="I93" s="167">
        <v>0</v>
      </c>
      <c r="J93" s="167">
        <f>'[14]6.3.3.'!$M$954</f>
        <v>5332408</v>
      </c>
      <c r="K93" s="53">
        <v>0</v>
      </c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</row>
    <row r="94" spans="1:83" s="56" customFormat="1" ht="36" customHeight="1" x14ac:dyDescent="0.25">
      <c r="A94" s="162">
        <v>30</v>
      </c>
      <c r="B94" s="57" t="s">
        <v>390</v>
      </c>
      <c r="C94" s="166">
        <f>SUM(C95:C96)</f>
        <v>7898384</v>
      </c>
      <c r="D94" s="166">
        <f t="shared" ref="D94:G94" si="58">SUM(D95:D96)</f>
        <v>5880207</v>
      </c>
      <c r="E94" s="166">
        <f t="shared" si="58"/>
        <v>2018177</v>
      </c>
      <c r="F94" s="166">
        <f t="shared" si="58"/>
        <v>0</v>
      </c>
      <c r="G94" s="166">
        <f t="shared" si="58"/>
        <v>0</v>
      </c>
      <c r="H94" s="166">
        <f t="shared" ref="H94:J94" si="59">SUM(H95:H96)</f>
        <v>5880207</v>
      </c>
      <c r="I94" s="166">
        <f t="shared" si="59"/>
        <v>0</v>
      </c>
      <c r="J94" s="166">
        <f t="shared" si="59"/>
        <v>2018177</v>
      </c>
      <c r="K94" s="53">
        <v>0</v>
      </c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3"/>
      <c r="CC94" s="53"/>
      <c r="CD94" s="53"/>
      <c r="CE94" s="53"/>
    </row>
    <row r="95" spans="1:83" s="54" customFormat="1" ht="30" customHeight="1" x14ac:dyDescent="0.25">
      <c r="A95" s="163" t="s">
        <v>113</v>
      </c>
      <c r="B95" s="55" t="s">
        <v>17</v>
      </c>
      <c r="C95" s="167">
        <f>SUM(D95:G95)</f>
        <v>1173776</v>
      </c>
      <c r="D95" s="167">
        <f>'[14]6.3.3.'!$H$977</f>
        <v>631538</v>
      </c>
      <c r="E95" s="167">
        <f>'[14]6.3.3.'!$I$977</f>
        <v>542238</v>
      </c>
      <c r="F95" s="167">
        <v>0</v>
      </c>
      <c r="G95" s="168">
        <v>0</v>
      </c>
      <c r="H95" s="168">
        <f>'[14]6.3.3.'!$L$977</f>
        <v>631538</v>
      </c>
      <c r="I95" s="169">
        <v>0</v>
      </c>
      <c r="J95" s="169">
        <f>'[14]6.3.3.'!$M$977</f>
        <v>542238</v>
      </c>
      <c r="K95" s="53">
        <v>0</v>
      </c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</row>
    <row r="96" spans="1:83" s="54" customFormat="1" ht="24.75" customHeight="1" x14ac:dyDescent="0.25">
      <c r="A96" s="163" t="s">
        <v>114</v>
      </c>
      <c r="B96" s="55" t="s">
        <v>19</v>
      </c>
      <c r="C96" s="167">
        <f>SUM(D96:G96)</f>
        <v>6724608</v>
      </c>
      <c r="D96" s="167">
        <f>'[14]6.3.3.'!$H$986</f>
        <v>5248669</v>
      </c>
      <c r="E96" s="167">
        <f>'[14]6.3.3.'!$I$986</f>
        <v>1475939</v>
      </c>
      <c r="F96" s="167">
        <v>0</v>
      </c>
      <c r="G96" s="167">
        <v>0</v>
      </c>
      <c r="H96" s="167">
        <f>'[14]6.3.3.'!$L$986</f>
        <v>5248669</v>
      </c>
      <c r="I96" s="167">
        <v>0</v>
      </c>
      <c r="J96" s="167">
        <f>'[14]6.3.3.'!$M$986</f>
        <v>1475939</v>
      </c>
      <c r="K96" s="53">
        <v>0</v>
      </c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</row>
    <row r="97" spans="1:83" s="56" customFormat="1" ht="33" customHeight="1" x14ac:dyDescent="0.25">
      <c r="A97" s="162">
        <v>31</v>
      </c>
      <c r="B97" s="57" t="s">
        <v>391</v>
      </c>
      <c r="C97" s="166">
        <f>SUM(C98:C99)</f>
        <v>878214</v>
      </c>
      <c r="D97" s="166">
        <f t="shared" ref="D97:G97" si="60">SUM(D98:D99)</f>
        <v>878214</v>
      </c>
      <c r="E97" s="166">
        <f t="shared" si="60"/>
        <v>0</v>
      </c>
      <c r="F97" s="166">
        <f t="shared" si="60"/>
        <v>0</v>
      </c>
      <c r="G97" s="166">
        <f t="shared" si="60"/>
        <v>0</v>
      </c>
      <c r="H97" s="166">
        <f t="shared" ref="H97:J97" si="61">SUM(H98:H99)</f>
        <v>878214</v>
      </c>
      <c r="I97" s="166">
        <f t="shared" si="61"/>
        <v>0</v>
      </c>
      <c r="J97" s="166">
        <f t="shared" si="61"/>
        <v>0</v>
      </c>
      <c r="K97" s="53">
        <v>0</v>
      </c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X97" s="53"/>
      <c r="BY97" s="53"/>
      <c r="BZ97" s="53"/>
      <c r="CA97" s="53"/>
      <c r="CB97" s="53"/>
      <c r="CC97" s="53"/>
      <c r="CD97" s="53"/>
      <c r="CE97" s="53"/>
    </row>
    <row r="98" spans="1:83" s="54" customFormat="1" ht="24.75" customHeight="1" x14ac:dyDescent="0.25">
      <c r="A98" s="163" t="s">
        <v>116</v>
      </c>
      <c r="B98" s="55" t="s">
        <v>17</v>
      </c>
      <c r="C98" s="167">
        <f>SUM(D98:G98)</f>
        <v>203838</v>
      </c>
      <c r="D98" s="167">
        <f>'[14]6.3.3.'!$H$1012</f>
        <v>203838</v>
      </c>
      <c r="E98" s="167">
        <v>0</v>
      </c>
      <c r="F98" s="167">
        <v>0</v>
      </c>
      <c r="G98" s="169">
        <v>0</v>
      </c>
      <c r="H98" s="169">
        <f>'[14]6.3.3.'!$L$1012</f>
        <v>203838</v>
      </c>
      <c r="I98" s="169">
        <v>0</v>
      </c>
      <c r="J98" s="169">
        <v>0</v>
      </c>
      <c r="K98" s="53">
        <v>0</v>
      </c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</row>
    <row r="99" spans="1:83" s="54" customFormat="1" ht="21.75" customHeight="1" x14ac:dyDescent="0.25">
      <c r="A99" s="163" t="s">
        <v>117</v>
      </c>
      <c r="B99" s="55" t="s">
        <v>19</v>
      </c>
      <c r="C99" s="167">
        <f>SUM(D99:G99)</f>
        <v>674376</v>
      </c>
      <c r="D99" s="167">
        <f>'[14]6.3.3.'!$H$1020</f>
        <v>674376</v>
      </c>
      <c r="E99" s="167">
        <v>0</v>
      </c>
      <c r="F99" s="167">
        <v>0</v>
      </c>
      <c r="G99" s="167">
        <v>0</v>
      </c>
      <c r="H99" s="167">
        <f>'[14]6.3.3.'!$L$1020</f>
        <v>674376</v>
      </c>
      <c r="I99" s="167">
        <v>0</v>
      </c>
      <c r="J99" s="167">
        <v>0</v>
      </c>
      <c r="K99" s="53">
        <v>0</v>
      </c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</row>
    <row r="100" spans="1:83" s="56" customFormat="1" ht="37.5" customHeight="1" x14ac:dyDescent="0.25">
      <c r="A100" s="162">
        <v>32</v>
      </c>
      <c r="B100" s="57" t="s">
        <v>392</v>
      </c>
      <c r="C100" s="166">
        <f>SUM(C101:C102)</f>
        <v>5766057.0800000001</v>
      </c>
      <c r="D100" s="166">
        <f t="shared" ref="D100:G100" si="62">SUM(D101:D102)</f>
        <v>0</v>
      </c>
      <c r="E100" s="166">
        <f t="shared" si="62"/>
        <v>5597357.0800000001</v>
      </c>
      <c r="F100" s="166">
        <f t="shared" si="62"/>
        <v>168700</v>
      </c>
      <c r="G100" s="166">
        <f t="shared" si="62"/>
        <v>0</v>
      </c>
      <c r="H100" s="166">
        <f t="shared" ref="H100:J100" si="63">SUM(H101:H102)</f>
        <v>0</v>
      </c>
      <c r="I100" s="166">
        <f t="shared" si="63"/>
        <v>0</v>
      </c>
      <c r="J100" s="166">
        <f t="shared" si="63"/>
        <v>5766057.0800000001</v>
      </c>
      <c r="K100" s="53">
        <v>0</v>
      </c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X100" s="53"/>
      <c r="BY100" s="53"/>
      <c r="BZ100" s="53"/>
      <c r="CA100" s="53"/>
      <c r="CB100" s="53"/>
      <c r="CC100" s="53"/>
      <c r="CD100" s="53"/>
      <c r="CE100" s="53"/>
    </row>
    <row r="101" spans="1:83" s="54" customFormat="1" ht="34.5" customHeight="1" x14ac:dyDescent="0.25">
      <c r="A101" s="163" t="s">
        <v>119</v>
      </c>
      <c r="B101" s="55" t="s">
        <v>17</v>
      </c>
      <c r="C101" s="167">
        <f>SUM(D101:G101)</f>
        <v>2870598</v>
      </c>
      <c r="D101" s="167">
        <f>'[14]6.3.3.'!$H$1045</f>
        <v>0</v>
      </c>
      <c r="E101" s="167">
        <f>'[14]6.3.3.'!$I$1045</f>
        <v>2701898</v>
      </c>
      <c r="F101" s="167">
        <f>'[14]6.3.3.'!$J$1045</f>
        <v>168700</v>
      </c>
      <c r="G101" s="168">
        <v>0</v>
      </c>
      <c r="H101" s="168">
        <f>'[14]6.3.3.'!$L$1045</f>
        <v>0</v>
      </c>
      <c r="I101" s="168">
        <v>0</v>
      </c>
      <c r="J101" s="168">
        <f>'[14]6.3.3.'!$M$1045</f>
        <v>2870598</v>
      </c>
      <c r="K101" s="53">
        <v>0</v>
      </c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</row>
    <row r="102" spans="1:83" s="54" customFormat="1" ht="21" customHeight="1" x14ac:dyDescent="0.25">
      <c r="A102" s="163" t="s">
        <v>120</v>
      </c>
      <c r="B102" s="55" t="s">
        <v>19</v>
      </c>
      <c r="C102" s="167">
        <f>SUM(D102:G102)</f>
        <v>2895459.08</v>
      </c>
      <c r="D102" s="167">
        <f>'[14]6.3.3.'!$H$1059</f>
        <v>0</v>
      </c>
      <c r="E102" s="167">
        <f>'[14]6.3.3.'!$I$1059</f>
        <v>2895459.08</v>
      </c>
      <c r="F102" s="167">
        <f>'[14]6.3.3.'!$J$1059</f>
        <v>0</v>
      </c>
      <c r="G102" s="167">
        <v>0</v>
      </c>
      <c r="H102" s="167">
        <f>'[14]6.3.3.'!$L$1059</f>
        <v>0</v>
      </c>
      <c r="I102" s="167">
        <v>0</v>
      </c>
      <c r="J102" s="167">
        <f>'[14]6.3.3.'!$M$1059</f>
        <v>2895459.08</v>
      </c>
      <c r="K102" s="53">
        <v>0</v>
      </c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</row>
    <row r="103" spans="1:83" s="56" customFormat="1" ht="45" customHeight="1" x14ac:dyDescent="0.25">
      <c r="A103" s="162">
        <v>33</v>
      </c>
      <c r="B103" s="57" t="s">
        <v>393</v>
      </c>
      <c r="C103" s="166">
        <f>SUM(C104:C105)</f>
        <v>4848376</v>
      </c>
      <c r="D103" s="166">
        <f t="shared" ref="D103:G103" si="64">SUM(D104:D105)</f>
        <v>0</v>
      </c>
      <c r="E103" s="166">
        <f t="shared" si="64"/>
        <v>4848376</v>
      </c>
      <c r="F103" s="166">
        <f t="shared" si="64"/>
        <v>0</v>
      </c>
      <c r="G103" s="166">
        <f t="shared" si="64"/>
        <v>0</v>
      </c>
      <c r="H103" s="166">
        <f t="shared" ref="H103:I103" si="65">SUM(H104:H105)</f>
        <v>0</v>
      </c>
      <c r="I103" s="166">
        <f t="shared" si="65"/>
        <v>0</v>
      </c>
      <c r="J103" s="166">
        <f>SUM(J104:J105)</f>
        <v>4848376</v>
      </c>
      <c r="K103" s="53">
        <v>0</v>
      </c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X103" s="53"/>
      <c r="BY103" s="53"/>
      <c r="BZ103" s="53"/>
      <c r="CA103" s="53"/>
      <c r="CB103" s="53"/>
      <c r="CC103" s="53"/>
      <c r="CD103" s="53"/>
      <c r="CE103" s="53"/>
    </row>
    <row r="104" spans="1:83" s="54" customFormat="1" ht="29.25" customHeight="1" x14ac:dyDescent="0.25">
      <c r="A104" s="163" t="s">
        <v>122</v>
      </c>
      <c r="B104" s="55" t="s">
        <v>17</v>
      </c>
      <c r="C104" s="167">
        <f>SUM(D104:G104)</f>
        <v>2042138</v>
      </c>
      <c r="D104" s="167">
        <f>'[14]6.3.3.'!$H$1080</f>
        <v>0</v>
      </c>
      <c r="E104" s="167">
        <f>'[14]6.3.3.'!$I$1080</f>
        <v>2042138</v>
      </c>
      <c r="F104" s="167">
        <f>'[14]6.3.3.'!$J$1080</f>
        <v>0</v>
      </c>
      <c r="G104" s="168">
        <v>0</v>
      </c>
      <c r="H104" s="168">
        <f>'[14]6.3.3.'!$L$1080</f>
        <v>0</v>
      </c>
      <c r="I104" s="168">
        <v>0</v>
      </c>
      <c r="J104" s="168">
        <f>'[14]6.3.3.'!$M$1080</f>
        <v>2042138</v>
      </c>
      <c r="K104" s="53">
        <v>0</v>
      </c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</row>
    <row r="105" spans="1:83" s="54" customFormat="1" ht="15" customHeight="1" x14ac:dyDescent="0.25">
      <c r="A105" s="163" t="s">
        <v>123</v>
      </c>
      <c r="B105" s="55" t="s">
        <v>19</v>
      </c>
      <c r="C105" s="167">
        <f>SUM(D105:G105)</f>
        <v>2806238</v>
      </c>
      <c r="D105" s="167">
        <f>'[14]6.3.3.'!$H$1089</f>
        <v>0</v>
      </c>
      <c r="E105" s="167">
        <f>'[14]6.3.3.'!$I$1089</f>
        <v>2806238</v>
      </c>
      <c r="F105" s="167">
        <f>'[14]6.3.3.'!$J$1089</f>
        <v>0</v>
      </c>
      <c r="G105" s="167">
        <v>0</v>
      </c>
      <c r="H105" s="167">
        <f>'[14]6.3.3.'!$L$1089</f>
        <v>0</v>
      </c>
      <c r="I105" s="167">
        <v>0</v>
      </c>
      <c r="J105" s="167">
        <f>'[14]6.3.3.'!$M$1089</f>
        <v>2806238</v>
      </c>
      <c r="K105" s="53">
        <v>0</v>
      </c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</row>
    <row r="106" spans="1:83" s="56" customFormat="1" ht="33" customHeight="1" x14ac:dyDescent="0.25">
      <c r="A106" s="162">
        <v>34</v>
      </c>
      <c r="B106" s="57" t="s">
        <v>394</v>
      </c>
      <c r="C106" s="166">
        <f>SUM(C107:C108)</f>
        <v>4390436</v>
      </c>
      <c r="D106" s="166">
        <f t="shared" ref="D106:G106" si="66">SUM(D107:D108)</f>
        <v>4390436</v>
      </c>
      <c r="E106" s="166">
        <f t="shared" si="66"/>
        <v>0</v>
      </c>
      <c r="F106" s="166">
        <f t="shared" si="66"/>
        <v>0</v>
      </c>
      <c r="G106" s="166">
        <f t="shared" si="66"/>
        <v>0</v>
      </c>
      <c r="H106" s="166">
        <f t="shared" ref="H106:J106" si="67">SUM(H107:H108)</f>
        <v>0</v>
      </c>
      <c r="I106" s="166">
        <f t="shared" si="67"/>
        <v>0</v>
      </c>
      <c r="J106" s="166">
        <f t="shared" si="67"/>
        <v>4390436</v>
      </c>
      <c r="K106" s="53">
        <v>0</v>
      </c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</row>
    <row r="107" spans="1:83" s="54" customFormat="1" ht="15" customHeight="1" x14ac:dyDescent="0.25">
      <c r="A107" s="163" t="s">
        <v>125</v>
      </c>
      <c r="B107" s="55" t="s">
        <v>17</v>
      </c>
      <c r="C107" s="167">
        <f>SUM(D107:G107)</f>
        <v>38917</v>
      </c>
      <c r="D107" s="167">
        <f>'[14]6.3.3.'!$H$1108</f>
        <v>38917</v>
      </c>
      <c r="E107" s="167">
        <v>0</v>
      </c>
      <c r="F107" s="167">
        <v>0</v>
      </c>
      <c r="G107" s="167">
        <v>0</v>
      </c>
      <c r="H107" s="168">
        <f>'[14]6.3.3.'!$L$1108</f>
        <v>0</v>
      </c>
      <c r="I107" s="168">
        <v>0</v>
      </c>
      <c r="J107" s="168">
        <f>'[14]6.3.3.'!$M$1108</f>
        <v>38917</v>
      </c>
      <c r="K107" s="53">
        <v>0</v>
      </c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</row>
    <row r="108" spans="1:83" s="51" customFormat="1" ht="15" customHeight="1" x14ac:dyDescent="0.25">
      <c r="A108" s="163" t="s">
        <v>126</v>
      </c>
      <c r="B108" s="55" t="s">
        <v>19</v>
      </c>
      <c r="C108" s="167">
        <f>SUM(D108:G108)</f>
        <v>4351519</v>
      </c>
      <c r="D108" s="167">
        <f>'[14]6.3.3.'!$H$1116</f>
        <v>4351519</v>
      </c>
      <c r="E108" s="167">
        <v>0</v>
      </c>
      <c r="F108" s="167">
        <v>0</v>
      </c>
      <c r="G108" s="167">
        <v>0</v>
      </c>
      <c r="H108" s="167">
        <f>'[14]6.3.3.'!$L$1116</f>
        <v>0</v>
      </c>
      <c r="I108" s="167">
        <v>0</v>
      </c>
      <c r="J108" s="167">
        <f>'[14]6.3.3.'!$M$1116</f>
        <v>4351519</v>
      </c>
      <c r="K108" s="53">
        <v>0</v>
      </c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</row>
    <row r="109" spans="1:83" s="51" customFormat="1" ht="35.25" customHeight="1" x14ac:dyDescent="0.25">
      <c r="A109" s="164" t="s">
        <v>127</v>
      </c>
      <c r="B109" s="246" t="s">
        <v>395</v>
      </c>
      <c r="C109" s="247">
        <f>SUM(C110:C111)</f>
        <v>6350807</v>
      </c>
      <c r="D109" s="247">
        <f t="shared" ref="D109:G109" si="68">SUM(D110:D111)</f>
        <v>6350807</v>
      </c>
      <c r="E109" s="247">
        <f t="shared" si="68"/>
        <v>0</v>
      </c>
      <c r="F109" s="247">
        <f t="shared" si="68"/>
        <v>0</v>
      </c>
      <c r="G109" s="247">
        <f t="shared" si="68"/>
        <v>0</v>
      </c>
      <c r="H109" s="247">
        <f t="shared" ref="H109:J109" si="69">SUM(H110:H111)</f>
        <v>5124557</v>
      </c>
      <c r="I109" s="247">
        <f t="shared" si="69"/>
        <v>0</v>
      </c>
      <c r="J109" s="247">
        <f t="shared" si="69"/>
        <v>1226250</v>
      </c>
      <c r="K109" s="53">
        <v>9237500</v>
      </c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</row>
    <row r="110" spans="1:83" s="51" customFormat="1" ht="24" customHeight="1" x14ac:dyDescent="0.25">
      <c r="A110" s="163" t="s">
        <v>129</v>
      </c>
      <c r="B110" s="244" t="s">
        <v>17</v>
      </c>
      <c r="C110" s="245">
        <f>SUM(D110:G110)</f>
        <v>2703738</v>
      </c>
      <c r="D110" s="245">
        <f>'[12]7.3.1'!$D$148</f>
        <v>2703738</v>
      </c>
      <c r="E110" s="245">
        <v>0</v>
      </c>
      <c r="F110" s="245">
        <v>0</v>
      </c>
      <c r="G110" s="248">
        <v>0</v>
      </c>
      <c r="H110" s="248">
        <f>'[12]7.3.1'!$H$148</f>
        <v>2703738</v>
      </c>
      <c r="I110" s="248">
        <v>0</v>
      </c>
      <c r="J110" s="248">
        <f>'[12]7.3.1'!$I$148</f>
        <v>0</v>
      </c>
      <c r="K110" s="53">
        <v>2576500</v>
      </c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</row>
    <row r="111" spans="1:83" s="58" customFormat="1" ht="25.5" customHeight="1" x14ac:dyDescent="0.25">
      <c r="A111" s="163" t="s">
        <v>130</v>
      </c>
      <c r="B111" s="244" t="s">
        <v>19</v>
      </c>
      <c r="C111" s="245">
        <f>SUM(D111:G111)</f>
        <v>3647069</v>
      </c>
      <c r="D111" s="245">
        <f>'[12]7.3.1'!$D$149</f>
        <v>3647069</v>
      </c>
      <c r="E111" s="245">
        <v>0</v>
      </c>
      <c r="F111" s="245">
        <v>0</v>
      </c>
      <c r="G111" s="245">
        <v>0</v>
      </c>
      <c r="H111" s="245">
        <f>'[12]7.3.1'!$H$149</f>
        <v>2420819</v>
      </c>
      <c r="I111" s="245">
        <v>0</v>
      </c>
      <c r="J111" s="245">
        <f>'[12]7.3.1'!$I$149</f>
        <v>1226250</v>
      </c>
      <c r="K111" s="53">
        <v>6661000</v>
      </c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</row>
    <row r="112" spans="1:83" s="56" customFormat="1" ht="37.5" customHeight="1" x14ac:dyDescent="0.25">
      <c r="A112" s="162">
        <v>36</v>
      </c>
      <c r="B112" s="57" t="s">
        <v>396</v>
      </c>
      <c r="C112" s="166">
        <f>SUM(C113:C114)</f>
        <v>8148755.4000000004</v>
      </c>
      <c r="D112" s="166">
        <f t="shared" ref="D112:G112" si="70">SUM(D113:D114)</f>
        <v>7699207</v>
      </c>
      <c r="E112" s="166">
        <f t="shared" si="70"/>
        <v>0</v>
      </c>
      <c r="F112" s="166">
        <f t="shared" si="70"/>
        <v>449548.4</v>
      </c>
      <c r="G112" s="166">
        <f t="shared" si="70"/>
        <v>0</v>
      </c>
      <c r="H112" s="166">
        <f t="shared" ref="H112:J112" si="71">SUM(H113:H114)</f>
        <v>0</v>
      </c>
      <c r="I112" s="166">
        <f t="shared" si="71"/>
        <v>0</v>
      </c>
      <c r="J112" s="166">
        <f t="shared" si="71"/>
        <v>8148755.4000000004</v>
      </c>
      <c r="K112" s="53">
        <v>0</v>
      </c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</row>
    <row r="113" spans="1:39" s="54" customFormat="1" ht="28.5" customHeight="1" x14ac:dyDescent="0.25">
      <c r="A113" s="163" t="s">
        <v>132</v>
      </c>
      <c r="B113" s="55" t="s">
        <v>17</v>
      </c>
      <c r="C113" s="167">
        <f>SUM(D113:G113)</f>
        <v>2392386.4</v>
      </c>
      <c r="D113" s="167">
        <f>'[14]6.3.3.'!$H$1168</f>
        <v>1942838</v>
      </c>
      <c r="E113" s="167">
        <v>0</v>
      </c>
      <c r="F113" s="167">
        <f>'[14]6.3.3.'!$J$1168</f>
        <v>449548.4</v>
      </c>
      <c r="G113" s="168">
        <v>0</v>
      </c>
      <c r="H113" s="168">
        <f>'[14]6.3.3.'!$L$1168</f>
        <v>0</v>
      </c>
      <c r="I113" s="168">
        <v>0</v>
      </c>
      <c r="J113" s="168">
        <f>'[14]6.3.3.'!$M$1168</f>
        <v>2392386.4</v>
      </c>
      <c r="K113" s="53">
        <v>0</v>
      </c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</row>
    <row r="114" spans="1:39" s="51" customFormat="1" ht="24" customHeight="1" x14ac:dyDescent="0.25">
      <c r="A114" s="163" t="s">
        <v>133</v>
      </c>
      <c r="B114" s="55" t="s">
        <v>19</v>
      </c>
      <c r="C114" s="167">
        <f>SUM(D114:G114)</f>
        <v>5756369</v>
      </c>
      <c r="D114" s="167">
        <f>'[14]6.3.3.'!$H$1178</f>
        <v>5756369</v>
      </c>
      <c r="E114" s="167">
        <v>0</v>
      </c>
      <c r="F114" s="167">
        <f>'[14]6.3.3.'!$J$1178</f>
        <v>0</v>
      </c>
      <c r="G114" s="167">
        <v>0</v>
      </c>
      <c r="H114" s="167">
        <f>'[14]6.3.3.'!$L$1178</f>
        <v>0</v>
      </c>
      <c r="I114" s="167">
        <v>0</v>
      </c>
      <c r="J114" s="167">
        <f>'[14]6.3.3.'!$M$1178</f>
        <v>5756369</v>
      </c>
      <c r="K114" s="53">
        <v>0</v>
      </c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</row>
    <row r="115" spans="1:39" s="56" customFormat="1" ht="27.75" customHeight="1" x14ac:dyDescent="0.25">
      <c r="A115" s="162">
        <v>37</v>
      </c>
      <c r="B115" s="246" t="s">
        <v>397</v>
      </c>
      <c r="C115" s="247">
        <f>SUM(C116:C117)</f>
        <v>2642535</v>
      </c>
      <c r="D115" s="247">
        <f t="shared" ref="D115:G115" si="72">SUM(D116:D117)</f>
        <v>2642535</v>
      </c>
      <c r="E115" s="247">
        <f t="shared" si="72"/>
        <v>0</v>
      </c>
      <c r="F115" s="247">
        <f t="shared" si="72"/>
        <v>0</v>
      </c>
      <c r="G115" s="247">
        <f t="shared" si="72"/>
        <v>0</v>
      </c>
      <c r="H115" s="247">
        <f t="shared" ref="H115:J115" si="73">SUM(H116:H117)</f>
        <v>2642535</v>
      </c>
      <c r="I115" s="247">
        <f t="shared" si="73"/>
        <v>0</v>
      </c>
      <c r="J115" s="247">
        <f t="shared" si="73"/>
        <v>0</v>
      </c>
      <c r="K115" s="53">
        <v>0</v>
      </c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</row>
    <row r="116" spans="1:39" s="54" customFormat="1" ht="15" customHeight="1" x14ac:dyDescent="0.25">
      <c r="A116" s="163" t="s">
        <v>135</v>
      </c>
      <c r="B116" s="244" t="s">
        <v>17</v>
      </c>
      <c r="C116" s="245">
        <f>SUM(D116:G116)</f>
        <v>395316</v>
      </c>
      <c r="D116" s="245">
        <f>'[12]7.3.1'!$D$156</f>
        <v>395316</v>
      </c>
      <c r="E116" s="245">
        <v>0</v>
      </c>
      <c r="F116" s="245">
        <v>0</v>
      </c>
      <c r="G116" s="245">
        <v>0</v>
      </c>
      <c r="H116" s="245">
        <f>'[12]7.3.1'!$H$156</f>
        <v>395316</v>
      </c>
      <c r="I116" s="245">
        <v>0</v>
      </c>
      <c r="J116" s="245">
        <v>0</v>
      </c>
      <c r="K116" s="53">
        <v>0</v>
      </c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</row>
    <row r="117" spans="1:39" s="51" customFormat="1" ht="15" customHeight="1" x14ac:dyDescent="0.25">
      <c r="A117" s="163" t="s">
        <v>136</v>
      </c>
      <c r="B117" s="244" t="s">
        <v>19</v>
      </c>
      <c r="C117" s="245">
        <f>SUM(D117:G117)</f>
        <v>2247219</v>
      </c>
      <c r="D117" s="245">
        <f>'[12]7.3.1'!$D$157</f>
        <v>2247219</v>
      </c>
      <c r="E117" s="245">
        <v>0</v>
      </c>
      <c r="F117" s="245">
        <v>0</v>
      </c>
      <c r="G117" s="245">
        <v>0</v>
      </c>
      <c r="H117" s="245">
        <f>'[12]7.3.1'!$H$157</f>
        <v>2247219</v>
      </c>
      <c r="I117" s="245">
        <v>0</v>
      </c>
      <c r="J117" s="245">
        <f>'[12]7.3.1'!$I$157</f>
        <v>0</v>
      </c>
      <c r="K117" s="53">
        <v>0</v>
      </c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</row>
    <row r="118" spans="1:39" s="51" customFormat="1" ht="15" customHeight="1" x14ac:dyDescent="0.25">
      <c r="A118" s="164" t="s">
        <v>137</v>
      </c>
      <c r="B118" s="57" t="s">
        <v>398</v>
      </c>
      <c r="C118" s="166">
        <f>SUM(C119:C120)</f>
        <v>6550384</v>
      </c>
      <c r="D118" s="166">
        <f t="shared" ref="D118:G118" si="74">SUM(D119:D120)</f>
        <v>0</v>
      </c>
      <c r="E118" s="166">
        <f t="shared" si="74"/>
        <v>6550384</v>
      </c>
      <c r="F118" s="166">
        <f t="shared" si="74"/>
        <v>0</v>
      </c>
      <c r="G118" s="166">
        <f t="shared" si="74"/>
        <v>0</v>
      </c>
      <c r="H118" s="166">
        <f t="shared" ref="H118:J118" si="75">SUM(H119:H120)</f>
        <v>0</v>
      </c>
      <c r="I118" s="166">
        <f t="shared" si="75"/>
        <v>0</v>
      </c>
      <c r="J118" s="166">
        <f t="shared" si="75"/>
        <v>6550384</v>
      </c>
      <c r="K118" s="53">
        <v>0</v>
      </c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</row>
    <row r="119" spans="1:39" s="51" customFormat="1" ht="15" customHeight="1" x14ac:dyDescent="0.25">
      <c r="A119" s="163" t="s">
        <v>139</v>
      </c>
      <c r="B119" s="55" t="s">
        <v>17</v>
      </c>
      <c r="C119" s="167">
        <f>SUM(D119:G119)</f>
        <v>3488155</v>
      </c>
      <c r="D119" s="167">
        <f>'[14]6.3.3.'!$H$1228</f>
        <v>0</v>
      </c>
      <c r="E119" s="167">
        <f>'[14]6.3.3.'!$I$1228</f>
        <v>3488155</v>
      </c>
      <c r="F119" s="167">
        <v>0</v>
      </c>
      <c r="G119" s="167">
        <v>0</v>
      </c>
      <c r="H119" s="167">
        <f>'[14]6.3.3.'!$L$1228</f>
        <v>0</v>
      </c>
      <c r="I119" s="167">
        <v>0</v>
      </c>
      <c r="J119" s="167">
        <f>'[14]6.3.3.'!$M$1228</f>
        <v>3488155</v>
      </c>
      <c r="K119" s="53">
        <v>0</v>
      </c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</row>
    <row r="120" spans="1:39" s="58" customFormat="1" ht="15" customHeight="1" x14ac:dyDescent="0.25">
      <c r="A120" s="163" t="s">
        <v>140</v>
      </c>
      <c r="B120" s="55" t="s">
        <v>19</v>
      </c>
      <c r="C120" s="167">
        <f>SUM(D120:G120)</f>
        <v>3062229</v>
      </c>
      <c r="D120" s="167">
        <f>'[14]6.3.3.'!$H$1242</f>
        <v>0</v>
      </c>
      <c r="E120" s="167">
        <f>'[14]6.3.3.'!$I$1242</f>
        <v>3062229</v>
      </c>
      <c r="F120" s="167">
        <v>0</v>
      </c>
      <c r="G120" s="167">
        <v>0</v>
      </c>
      <c r="H120" s="167">
        <f>'[14]6.3.3.'!$L$1242</f>
        <v>0</v>
      </c>
      <c r="I120" s="167">
        <v>0</v>
      </c>
      <c r="J120" s="167">
        <f>'[14]6.3.3.'!$M$1242</f>
        <v>3062229</v>
      </c>
      <c r="K120" s="53">
        <v>0</v>
      </c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</row>
    <row r="121" spans="1:39" s="56" customFormat="1" ht="37.5" customHeight="1" x14ac:dyDescent="0.25">
      <c r="A121" s="162">
        <v>39</v>
      </c>
      <c r="B121" s="57" t="s">
        <v>399</v>
      </c>
      <c r="C121" s="166">
        <f>SUM(C122:C123)</f>
        <v>5729778</v>
      </c>
      <c r="D121" s="166">
        <f t="shared" ref="D121:G121" si="76">SUM(D122:D123)</f>
        <v>2352969</v>
      </c>
      <c r="E121" s="166">
        <f t="shared" si="76"/>
        <v>3376809</v>
      </c>
      <c r="F121" s="166">
        <f t="shared" si="76"/>
        <v>0</v>
      </c>
      <c r="G121" s="166">
        <f t="shared" si="76"/>
        <v>0</v>
      </c>
      <c r="H121" s="166">
        <f t="shared" ref="H121:J121" si="77">SUM(H122:H123)</f>
        <v>2352969</v>
      </c>
      <c r="I121" s="166">
        <f t="shared" si="77"/>
        <v>0</v>
      </c>
      <c r="J121" s="166">
        <f t="shared" si="77"/>
        <v>3376809</v>
      </c>
      <c r="K121" s="53">
        <v>0</v>
      </c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</row>
    <row r="122" spans="1:39" s="54" customFormat="1" ht="15" customHeight="1" x14ac:dyDescent="0.25">
      <c r="A122" s="163" t="s">
        <v>142</v>
      </c>
      <c r="B122" s="55" t="s">
        <v>17</v>
      </c>
      <c r="C122" s="167">
        <f>SUM(D122:G122)</f>
        <v>0</v>
      </c>
      <c r="D122" s="167">
        <f>'[14]6.3.3.'!$H$1260</f>
        <v>0</v>
      </c>
      <c r="E122" s="167">
        <f>'[14]6.3.3.'!$I$1260</f>
        <v>0</v>
      </c>
      <c r="F122" s="167">
        <v>0</v>
      </c>
      <c r="G122" s="167">
        <v>0</v>
      </c>
      <c r="H122" s="167">
        <f>'[14]6.3.3.'!$L$1260</f>
        <v>0</v>
      </c>
      <c r="I122" s="167">
        <v>0</v>
      </c>
      <c r="J122" s="167">
        <f>'[14]6.3.3.'!$M$1260</f>
        <v>0</v>
      </c>
      <c r="K122" s="53">
        <v>0</v>
      </c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</row>
    <row r="123" spans="1:39" s="51" customFormat="1" ht="15" customHeight="1" x14ac:dyDescent="0.25">
      <c r="A123" s="163" t="s">
        <v>143</v>
      </c>
      <c r="B123" s="55" t="s">
        <v>19</v>
      </c>
      <c r="C123" s="167">
        <f>SUM(D123:G123)</f>
        <v>5729778</v>
      </c>
      <c r="D123" s="167">
        <f>'[14]6.3.3.'!$H$1268</f>
        <v>2352969</v>
      </c>
      <c r="E123" s="167">
        <f>'[14]6.3.3.'!$I$1268</f>
        <v>3376809</v>
      </c>
      <c r="F123" s="167">
        <v>0</v>
      </c>
      <c r="G123" s="167">
        <v>0</v>
      </c>
      <c r="H123" s="167">
        <f>'[14]6.3.3.'!$L$1268</f>
        <v>2352969</v>
      </c>
      <c r="I123" s="167">
        <v>0</v>
      </c>
      <c r="J123" s="167">
        <f>'[14]6.3.3.'!$M$1268</f>
        <v>3376809</v>
      </c>
      <c r="K123" s="53">
        <v>0</v>
      </c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</row>
    <row r="124" spans="1:39" s="56" customFormat="1" ht="30.75" customHeight="1" x14ac:dyDescent="0.25">
      <c r="A124" s="162">
        <v>40</v>
      </c>
      <c r="B124" s="57" t="s">
        <v>400</v>
      </c>
      <c r="C124" s="166">
        <f>SUM(C125:C126)</f>
        <v>8048258</v>
      </c>
      <c r="D124" s="166">
        <f t="shared" ref="D124:G124" si="78">SUM(D125:D126)</f>
        <v>3982969</v>
      </c>
      <c r="E124" s="166">
        <f t="shared" si="78"/>
        <v>4065289</v>
      </c>
      <c r="F124" s="166">
        <f t="shared" si="78"/>
        <v>0</v>
      </c>
      <c r="G124" s="166">
        <f t="shared" si="78"/>
        <v>0</v>
      </c>
      <c r="H124" s="166">
        <f t="shared" ref="H124:J124" si="79">SUM(H125:H126)</f>
        <v>902400</v>
      </c>
      <c r="I124" s="166">
        <f t="shared" si="79"/>
        <v>0</v>
      </c>
      <c r="J124" s="166">
        <f t="shared" si="79"/>
        <v>7145858</v>
      </c>
      <c r="K124" s="53">
        <v>769100</v>
      </c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</row>
    <row r="125" spans="1:39" s="54" customFormat="1" ht="15" customHeight="1" x14ac:dyDescent="0.25">
      <c r="A125" s="163" t="s">
        <v>145</v>
      </c>
      <c r="B125" s="55" t="s">
        <v>17</v>
      </c>
      <c r="C125" s="167">
        <f>SUM(D125:G125)</f>
        <v>1892220</v>
      </c>
      <c r="D125" s="167">
        <f>'[14]6.3.3.'!$H$1293</f>
        <v>1588600</v>
      </c>
      <c r="E125" s="167">
        <f>'[14]6.3.3.'!$I$1293</f>
        <v>303620</v>
      </c>
      <c r="F125" s="167">
        <v>0</v>
      </c>
      <c r="G125" s="167">
        <v>0</v>
      </c>
      <c r="H125" s="167">
        <f>'[14]6.3.3.'!$L$1293</f>
        <v>902400</v>
      </c>
      <c r="I125" s="167">
        <v>0</v>
      </c>
      <c r="J125" s="167">
        <f>'[14]6.3.3.'!$M$1293</f>
        <v>989820</v>
      </c>
      <c r="K125" s="53">
        <v>769100</v>
      </c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</row>
    <row r="126" spans="1:39" s="51" customFormat="1" ht="15" customHeight="1" x14ac:dyDescent="0.25">
      <c r="A126" s="163" t="s">
        <v>146</v>
      </c>
      <c r="B126" s="55" t="s">
        <v>19</v>
      </c>
      <c r="C126" s="167">
        <f>SUM(D126:G126)</f>
        <v>6156038</v>
      </c>
      <c r="D126" s="167">
        <f>'[14]6.3.3.'!$H$1304</f>
        <v>2394369</v>
      </c>
      <c r="E126" s="167">
        <f>'[14]6.3.3.'!$I$1304</f>
        <v>3761669</v>
      </c>
      <c r="F126" s="167">
        <v>0</v>
      </c>
      <c r="G126" s="167">
        <v>0</v>
      </c>
      <c r="H126" s="167">
        <f>'[14]6.3.3.'!$L$1304</f>
        <v>0</v>
      </c>
      <c r="I126" s="167">
        <v>0</v>
      </c>
      <c r="J126" s="167">
        <f>'[14]6.3.3.'!$M$1304</f>
        <v>6156038</v>
      </c>
      <c r="K126" s="53">
        <v>0</v>
      </c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</row>
    <row r="127" spans="1:39" s="51" customFormat="1" ht="15" customHeight="1" x14ac:dyDescent="0.25">
      <c r="A127" s="164" t="s">
        <v>147</v>
      </c>
      <c r="B127" s="246" t="s">
        <v>402</v>
      </c>
      <c r="C127" s="247">
        <f>SUM(C128:C129)</f>
        <v>5553086</v>
      </c>
      <c r="D127" s="247">
        <f t="shared" ref="D127:G127" si="80">SUM(D128:D129)</f>
        <v>5553086</v>
      </c>
      <c r="E127" s="247">
        <f t="shared" si="80"/>
        <v>0</v>
      </c>
      <c r="F127" s="247">
        <f t="shared" si="80"/>
        <v>0</v>
      </c>
      <c r="G127" s="247">
        <f t="shared" si="80"/>
        <v>0</v>
      </c>
      <c r="H127" s="247">
        <f t="shared" ref="H127:J127" si="81">SUM(H128:H129)</f>
        <v>5553086</v>
      </c>
      <c r="I127" s="247">
        <f t="shared" si="81"/>
        <v>0</v>
      </c>
      <c r="J127" s="247">
        <f t="shared" si="81"/>
        <v>0</v>
      </c>
      <c r="K127" s="53">
        <v>0</v>
      </c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</row>
    <row r="128" spans="1:39" s="51" customFormat="1" ht="15" customHeight="1" x14ac:dyDescent="0.25">
      <c r="A128" s="163" t="s">
        <v>149</v>
      </c>
      <c r="B128" s="244" t="s">
        <v>17</v>
      </c>
      <c r="C128" s="245">
        <f>SUM(D128:G128)</f>
        <v>1181017</v>
      </c>
      <c r="D128" s="245">
        <f>'[12]7.3.1'!$D$172</f>
        <v>1181017</v>
      </c>
      <c r="E128" s="245">
        <f>'[14]6.3.3.'!$I$1327</f>
        <v>0</v>
      </c>
      <c r="F128" s="245">
        <v>0</v>
      </c>
      <c r="G128" s="245">
        <v>0</v>
      </c>
      <c r="H128" s="245">
        <f>'[12]7.3.1'!$H$172</f>
        <v>1181017</v>
      </c>
      <c r="I128" s="245">
        <v>0</v>
      </c>
      <c r="J128" s="245">
        <f>'[12]7.3.1'!$I$172</f>
        <v>0</v>
      </c>
      <c r="K128" s="53">
        <v>0</v>
      </c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</row>
    <row r="129" spans="1:39" s="58" customFormat="1" ht="15" customHeight="1" x14ac:dyDescent="0.25">
      <c r="A129" s="163" t="s">
        <v>150</v>
      </c>
      <c r="B129" s="244" t="s">
        <v>19</v>
      </c>
      <c r="C129" s="245">
        <f>SUM(D129:G129)</f>
        <v>4372069</v>
      </c>
      <c r="D129" s="245">
        <f>'[12]7.3.1'!$D$173</f>
        <v>4372069</v>
      </c>
      <c r="E129" s="245">
        <f>'[14]6.3.3.'!$I$1335</f>
        <v>0</v>
      </c>
      <c r="F129" s="245">
        <v>0</v>
      </c>
      <c r="G129" s="245">
        <v>0</v>
      </c>
      <c r="H129" s="245">
        <f>'[12]7.3.1'!$H$173</f>
        <v>4372069</v>
      </c>
      <c r="I129" s="245">
        <v>0</v>
      </c>
      <c r="J129" s="245">
        <f>'[12]7.3.1'!$I$173</f>
        <v>0</v>
      </c>
      <c r="K129" s="53">
        <v>0</v>
      </c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</row>
    <row r="130" spans="1:39" s="56" customFormat="1" ht="29.25" customHeight="1" x14ac:dyDescent="0.25">
      <c r="A130" s="162">
        <v>42</v>
      </c>
      <c r="B130" s="57" t="s">
        <v>403</v>
      </c>
      <c r="C130" s="166">
        <f>SUM(C131:C132)</f>
        <v>7572435</v>
      </c>
      <c r="D130" s="166">
        <f t="shared" ref="D130:G130" si="82">SUM(D131:D132)</f>
        <v>4689815</v>
      </c>
      <c r="E130" s="166">
        <f t="shared" si="82"/>
        <v>2882620</v>
      </c>
      <c r="F130" s="166">
        <f t="shared" si="82"/>
        <v>0</v>
      </c>
      <c r="G130" s="166">
        <f t="shared" si="82"/>
        <v>0</v>
      </c>
      <c r="H130" s="166">
        <f t="shared" ref="H130:J130" si="83">SUM(H131:H132)</f>
        <v>0</v>
      </c>
      <c r="I130" s="166">
        <f t="shared" si="83"/>
        <v>0</v>
      </c>
      <c r="J130" s="166">
        <f t="shared" si="83"/>
        <v>7572435</v>
      </c>
      <c r="K130" s="53">
        <v>0</v>
      </c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</row>
    <row r="131" spans="1:39" s="54" customFormat="1" ht="15" customHeight="1" x14ac:dyDescent="0.25">
      <c r="A131" s="163" t="s">
        <v>152</v>
      </c>
      <c r="B131" s="55" t="s">
        <v>17</v>
      </c>
      <c r="C131" s="167">
        <f>SUM(D131:G131)</f>
        <v>3051226</v>
      </c>
      <c r="D131" s="167">
        <f>'[14]6.3.3.'!$H$1358</f>
        <v>1956746</v>
      </c>
      <c r="E131" s="167">
        <f>'[14]6.3.3.'!$I$1358</f>
        <v>1094480</v>
      </c>
      <c r="F131" s="167">
        <v>0</v>
      </c>
      <c r="G131" s="167">
        <v>0</v>
      </c>
      <c r="H131" s="167">
        <f>'[14]6.3.3.'!$L$1358</f>
        <v>0</v>
      </c>
      <c r="I131" s="167">
        <v>0</v>
      </c>
      <c r="J131" s="167">
        <f>'[14]6.3.3.'!$M$1358</f>
        <v>3051226</v>
      </c>
      <c r="K131" s="53">
        <v>0</v>
      </c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</row>
    <row r="132" spans="1:39" s="51" customFormat="1" ht="15" customHeight="1" x14ac:dyDescent="0.25">
      <c r="A132" s="163" t="s">
        <v>153</v>
      </c>
      <c r="B132" s="55" t="s">
        <v>19</v>
      </c>
      <c r="C132" s="167">
        <f>SUM(D132:G132)</f>
        <v>4521209</v>
      </c>
      <c r="D132" s="167">
        <f>'[14]6.3.3.'!$H$1368</f>
        <v>2733069</v>
      </c>
      <c r="E132" s="167">
        <f>'[14]6.3.3.'!$I$1368</f>
        <v>1788140</v>
      </c>
      <c r="F132" s="167">
        <v>0</v>
      </c>
      <c r="G132" s="167">
        <v>0</v>
      </c>
      <c r="H132" s="167">
        <f>'[14]6.3.3.'!$L$1368</f>
        <v>0</v>
      </c>
      <c r="I132" s="167">
        <v>0</v>
      </c>
      <c r="J132" s="167">
        <f>'[14]6.3.3.'!$M$1368</f>
        <v>4521209</v>
      </c>
      <c r="K132" s="53">
        <v>0</v>
      </c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</row>
    <row r="133" spans="1:39" s="51" customFormat="1" ht="37.5" customHeight="1" x14ac:dyDescent="0.25">
      <c r="A133" s="164" t="s">
        <v>154</v>
      </c>
      <c r="B133" s="57" t="s">
        <v>404</v>
      </c>
      <c r="C133" s="166">
        <f>SUM(C134:C135)</f>
        <v>6322865</v>
      </c>
      <c r="D133" s="166">
        <f t="shared" ref="D133:G133" si="84">SUM(D134:D135)</f>
        <v>0</v>
      </c>
      <c r="E133" s="166">
        <f t="shared" si="84"/>
        <v>0</v>
      </c>
      <c r="F133" s="166">
        <f t="shared" si="84"/>
        <v>6322865</v>
      </c>
      <c r="G133" s="166">
        <f t="shared" si="84"/>
        <v>0</v>
      </c>
      <c r="H133" s="166">
        <f t="shared" ref="H133:J133" si="85">SUM(H134:H135)</f>
        <v>0</v>
      </c>
      <c r="I133" s="166">
        <f t="shared" si="85"/>
        <v>0</v>
      </c>
      <c r="J133" s="166">
        <f t="shared" si="85"/>
        <v>6322865</v>
      </c>
      <c r="K133" s="53">
        <v>0</v>
      </c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</row>
    <row r="134" spans="1:39" s="51" customFormat="1" ht="15" customHeight="1" x14ac:dyDescent="0.25">
      <c r="A134" s="163" t="s">
        <v>156</v>
      </c>
      <c r="B134" s="55" t="s">
        <v>17</v>
      </c>
      <c r="C134" s="167">
        <f>SUM(D134:G134)</f>
        <v>2051651</v>
      </c>
      <c r="D134" s="167">
        <f>'[14]6.3.3.'!$H$1388</f>
        <v>0</v>
      </c>
      <c r="E134" s="167">
        <v>0</v>
      </c>
      <c r="F134" s="167">
        <f>'[14]6.3.3.'!$J$1388</f>
        <v>2051651</v>
      </c>
      <c r="G134" s="167">
        <v>0</v>
      </c>
      <c r="H134" s="167">
        <f>'[14]6.3.3.'!$L$1388</f>
        <v>0</v>
      </c>
      <c r="I134" s="167">
        <v>0</v>
      </c>
      <c r="J134" s="167">
        <f>'[14]6.3.3.'!$M$1388</f>
        <v>2051651</v>
      </c>
      <c r="K134" s="53">
        <v>0</v>
      </c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</row>
    <row r="135" spans="1:39" s="58" customFormat="1" ht="15" customHeight="1" x14ac:dyDescent="0.25">
      <c r="A135" s="163" t="s">
        <v>157</v>
      </c>
      <c r="B135" s="55" t="s">
        <v>19</v>
      </c>
      <c r="C135" s="167">
        <f>SUM(D135:G135)</f>
        <v>4271214</v>
      </c>
      <c r="D135" s="167">
        <f>'[14]6.3.3.'!$H$1404</f>
        <v>0</v>
      </c>
      <c r="E135" s="167">
        <v>0</v>
      </c>
      <c r="F135" s="167">
        <f>'[14]6.3.3.'!$J$1404</f>
        <v>4271214</v>
      </c>
      <c r="G135" s="167">
        <v>0</v>
      </c>
      <c r="H135" s="167">
        <f>'[14]6.3.3.'!$L$1404</f>
        <v>0</v>
      </c>
      <c r="I135" s="167">
        <v>0</v>
      </c>
      <c r="J135" s="167">
        <f>'[14]6.3.3.'!$M$1404</f>
        <v>4271214</v>
      </c>
      <c r="K135" s="53">
        <v>0</v>
      </c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</row>
    <row r="136" spans="1:39" s="56" customFormat="1" ht="15" customHeight="1" x14ac:dyDescent="0.25">
      <c r="A136" s="162">
        <v>44</v>
      </c>
      <c r="B136" s="57" t="s">
        <v>405</v>
      </c>
      <c r="C136" s="166">
        <f>SUM(C137:C138)</f>
        <v>943569</v>
      </c>
      <c r="D136" s="166">
        <f t="shared" ref="D136:G136" si="86">SUM(D137:D138)</f>
        <v>0</v>
      </c>
      <c r="E136" s="166">
        <f t="shared" si="86"/>
        <v>943569</v>
      </c>
      <c r="F136" s="166">
        <f t="shared" si="86"/>
        <v>0</v>
      </c>
      <c r="G136" s="166">
        <f t="shared" si="86"/>
        <v>0</v>
      </c>
      <c r="H136" s="166">
        <f t="shared" ref="H136:J136" si="87">SUM(H137:H138)</f>
        <v>0</v>
      </c>
      <c r="I136" s="166">
        <f t="shared" si="87"/>
        <v>0</v>
      </c>
      <c r="J136" s="166">
        <f t="shared" si="87"/>
        <v>943569</v>
      </c>
      <c r="K136" s="53">
        <v>0</v>
      </c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</row>
    <row r="137" spans="1:39" s="54" customFormat="1" ht="15" customHeight="1" x14ac:dyDescent="0.25">
      <c r="A137" s="163" t="s">
        <v>159</v>
      </c>
      <c r="B137" s="55" t="s">
        <v>17</v>
      </c>
      <c r="C137" s="167">
        <f>SUM(D137:G137)</f>
        <v>0</v>
      </c>
      <c r="D137" s="167">
        <f>'[14]6.3.3.'!$H$1429</f>
        <v>0</v>
      </c>
      <c r="E137" s="167">
        <f>'[14]6.3.3.'!$I$1429</f>
        <v>0</v>
      </c>
      <c r="F137" s="167">
        <v>0</v>
      </c>
      <c r="G137" s="167">
        <v>0</v>
      </c>
      <c r="H137" s="167">
        <f>'[14]6.3.3.'!$L$1429</f>
        <v>0</v>
      </c>
      <c r="I137" s="167">
        <v>0</v>
      </c>
      <c r="J137" s="167">
        <v>0</v>
      </c>
      <c r="K137" s="53">
        <v>0</v>
      </c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</row>
    <row r="138" spans="1:39" s="51" customFormat="1" ht="15" customHeight="1" x14ac:dyDescent="0.25">
      <c r="A138" s="163" t="s">
        <v>160</v>
      </c>
      <c r="B138" s="55" t="s">
        <v>19</v>
      </c>
      <c r="C138" s="167">
        <f>SUM(D138:G138)</f>
        <v>943569</v>
      </c>
      <c r="D138" s="167">
        <f>'[14]6.3.3.'!$H$1437</f>
        <v>0</v>
      </c>
      <c r="E138" s="167">
        <f>'[14]6.3.3.'!$I$1437</f>
        <v>943569</v>
      </c>
      <c r="F138" s="167">
        <v>0</v>
      </c>
      <c r="G138" s="167">
        <v>0</v>
      </c>
      <c r="H138" s="167">
        <f>'[14]6.3.3.'!$L$1437</f>
        <v>0</v>
      </c>
      <c r="I138" s="167">
        <v>0</v>
      </c>
      <c r="J138" s="167">
        <f>'[14]6.3.3.'!$M$1437</f>
        <v>943569</v>
      </c>
      <c r="K138" s="53">
        <v>0</v>
      </c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</row>
    <row r="139" spans="1:39" s="56" customFormat="1" ht="33" customHeight="1" x14ac:dyDescent="0.25">
      <c r="A139" s="162">
        <v>45</v>
      </c>
      <c r="B139" s="57" t="s">
        <v>406</v>
      </c>
      <c r="C139" s="166">
        <f>SUM(C140:C141)</f>
        <v>5487142.9000000004</v>
      </c>
      <c r="D139" s="166">
        <f t="shared" ref="D139:G139" si="88">SUM(D140:D141)</f>
        <v>0</v>
      </c>
      <c r="E139" s="166">
        <f t="shared" si="88"/>
        <v>0</v>
      </c>
      <c r="F139" s="166">
        <f t="shared" si="88"/>
        <v>5487142.9000000004</v>
      </c>
      <c r="G139" s="166">
        <f t="shared" si="88"/>
        <v>0</v>
      </c>
      <c r="H139" s="166">
        <f t="shared" ref="H139:J139" si="89">SUM(H140:H141)</f>
        <v>0</v>
      </c>
      <c r="I139" s="166">
        <f t="shared" si="89"/>
        <v>0</v>
      </c>
      <c r="J139" s="166">
        <f t="shared" si="89"/>
        <v>5487142.9000000004</v>
      </c>
      <c r="K139" s="53">
        <v>0</v>
      </c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</row>
    <row r="140" spans="1:39" s="54" customFormat="1" ht="15" customHeight="1" x14ac:dyDescent="0.25">
      <c r="A140" s="163" t="s">
        <v>162</v>
      </c>
      <c r="B140" s="55" t="s">
        <v>17</v>
      </c>
      <c r="C140" s="167">
        <f>SUM(D140:G140)</f>
        <v>2128403.9</v>
      </c>
      <c r="D140" s="167">
        <f>'[14]6.3.3.'!$H$1455</f>
        <v>0</v>
      </c>
      <c r="E140" s="167">
        <v>0</v>
      </c>
      <c r="F140" s="167">
        <f>'[14]6.3.3.'!$J$1455</f>
        <v>2128403.9</v>
      </c>
      <c r="G140" s="167">
        <v>0</v>
      </c>
      <c r="H140" s="167">
        <f>'[14]6.3.3.'!$L$1455</f>
        <v>0</v>
      </c>
      <c r="I140" s="167">
        <v>0</v>
      </c>
      <c r="J140" s="167">
        <f>'[14]6.3.3.'!$M$1455</f>
        <v>2128403.9</v>
      </c>
      <c r="K140" s="53">
        <v>0</v>
      </c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</row>
    <row r="141" spans="1:39" s="51" customFormat="1" ht="15" customHeight="1" x14ac:dyDescent="0.25">
      <c r="A141" s="163" t="s">
        <v>163</v>
      </c>
      <c r="B141" s="55" t="s">
        <v>19</v>
      </c>
      <c r="C141" s="167">
        <f>SUM(D141:G141)</f>
        <v>3358739</v>
      </c>
      <c r="D141" s="167">
        <f>'[14]6.3.3.'!$H$1470</f>
        <v>0</v>
      </c>
      <c r="E141" s="167">
        <v>0</v>
      </c>
      <c r="F141" s="167">
        <f>'[14]6.3.3.'!$J$1470</f>
        <v>3358739</v>
      </c>
      <c r="G141" s="167">
        <v>0</v>
      </c>
      <c r="H141" s="167">
        <f>'[14]6.3.3.'!$L$1470</f>
        <v>0</v>
      </c>
      <c r="I141" s="167">
        <v>0</v>
      </c>
      <c r="J141" s="167">
        <f>'[14]6.3.3.'!$M$1470</f>
        <v>3358739</v>
      </c>
      <c r="K141" s="53">
        <v>0</v>
      </c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</row>
    <row r="142" spans="1:39" s="51" customFormat="1" ht="31.5" customHeight="1" x14ac:dyDescent="0.25">
      <c r="A142" s="164" t="s">
        <v>164</v>
      </c>
      <c r="B142" s="57" t="s">
        <v>407</v>
      </c>
      <c r="C142" s="166">
        <f>SUM(C143:C144)</f>
        <v>2893607</v>
      </c>
      <c r="D142" s="166">
        <f t="shared" ref="D142:G142" si="90">SUM(D143:D144)</f>
        <v>744980</v>
      </c>
      <c r="E142" s="166">
        <f t="shared" si="90"/>
        <v>1714807</v>
      </c>
      <c r="F142" s="166">
        <f t="shared" si="90"/>
        <v>433820</v>
      </c>
      <c r="G142" s="166">
        <f t="shared" si="90"/>
        <v>0</v>
      </c>
      <c r="H142" s="166">
        <f t="shared" ref="H142:J142" si="91">SUM(H143:H144)</f>
        <v>744980</v>
      </c>
      <c r="I142" s="166">
        <f t="shared" si="91"/>
        <v>0</v>
      </c>
      <c r="J142" s="166">
        <f t="shared" si="91"/>
        <v>2148627</v>
      </c>
      <c r="K142" s="53">
        <v>0</v>
      </c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</row>
    <row r="143" spans="1:39" s="51" customFormat="1" ht="15" customHeight="1" x14ac:dyDescent="0.25">
      <c r="A143" s="163" t="s">
        <v>166</v>
      </c>
      <c r="B143" s="55" t="s">
        <v>17</v>
      </c>
      <c r="C143" s="167">
        <f>SUM(D143:G143)</f>
        <v>0</v>
      </c>
      <c r="D143" s="167">
        <f>'[14]6.3.3.'!$H$1493</f>
        <v>0</v>
      </c>
      <c r="E143" s="167">
        <f>'[14]6.3.3.'!$I$1493</f>
        <v>0</v>
      </c>
      <c r="F143" s="167">
        <f>'[14]6.3.3.'!$J$1493</f>
        <v>0</v>
      </c>
      <c r="G143" s="167">
        <v>0</v>
      </c>
      <c r="H143" s="167">
        <f>'[14]6.3.3.'!$L$1493</f>
        <v>0</v>
      </c>
      <c r="I143" s="167">
        <v>0</v>
      </c>
      <c r="J143" s="167">
        <f>'[14]6.3.3.'!$M$1493</f>
        <v>0</v>
      </c>
      <c r="K143" s="53">
        <v>0</v>
      </c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</row>
    <row r="144" spans="1:39" s="58" customFormat="1" ht="15" customHeight="1" x14ac:dyDescent="0.25">
      <c r="A144" s="163" t="s">
        <v>167</v>
      </c>
      <c r="B144" s="55" t="s">
        <v>19</v>
      </c>
      <c r="C144" s="167">
        <f>SUM(D144:G144)</f>
        <v>2893607</v>
      </c>
      <c r="D144" s="167">
        <f>'[14]6.3.3.'!$H$1501</f>
        <v>744980</v>
      </c>
      <c r="E144" s="167">
        <f>'[14]6.3.3.'!$I$1501</f>
        <v>1714807</v>
      </c>
      <c r="F144" s="167">
        <f>'[14]6.3.3.'!$J$1501</f>
        <v>433820</v>
      </c>
      <c r="G144" s="167">
        <v>0</v>
      </c>
      <c r="H144" s="167">
        <f>'[14]6.3.3.'!$L$1501</f>
        <v>744980</v>
      </c>
      <c r="I144" s="167">
        <v>0</v>
      </c>
      <c r="J144" s="167">
        <f>'[14]6.3.3.'!$M$1501</f>
        <v>2148627</v>
      </c>
      <c r="K144" s="53">
        <v>0</v>
      </c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</row>
    <row r="145" spans="1:39" s="56" customFormat="1" ht="49.5" customHeight="1" x14ac:dyDescent="0.25">
      <c r="A145" s="162">
        <v>47</v>
      </c>
      <c r="B145" s="57" t="s">
        <v>408</v>
      </c>
      <c r="C145" s="166">
        <f>SUM(C146:C147)</f>
        <v>5757072</v>
      </c>
      <c r="D145" s="166">
        <f t="shared" ref="D145:G145" si="92">SUM(D146:D147)</f>
        <v>5489062</v>
      </c>
      <c r="E145" s="166">
        <f t="shared" si="92"/>
        <v>0</v>
      </c>
      <c r="F145" s="166">
        <f t="shared" si="92"/>
        <v>268010</v>
      </c>
      <c r="G145" s="166">
        <f t="shared" si="92"/>
        <v>0</v>
      </c>
      <c r="H145" s="166">
        <f t="shared" ref="H145:J145" si="93">SUM(H146:H147)</f>
        <v>0</v>
      </c>
      <c r="I145" s="166">
        <f t="shared" si="93"/>
        <v>0</v>
      </c>
      <c r="J145" s="166">
        <f t="shared" si="93"/>
        <v>5757072</v>
      </c>
      <c r="K145" s="53">
        <v>0</v>
      </c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</row>
    <row r="146" spans="1:39" s="54" customFormat="1" ht="15" customHeight="1" x14ac:dyDescent="0.25">
      <c r="A146" s="163" t="s">
        <v>169</v>
      </c>
      <c r="B146" s="55" t="s">
        <v>17</v>
      </c>
      <c r="C146" s="167">
        <f>SUM(D146:G146)</f>
        <v>2518884</v>
      </c>
      <c r="D146" s="167">
        <f>'[14]6.3.3.'!$H$1527</f>
        <v>2250874</v>
      </c>
      <c r="E146" s="167">
        <f>'[14]6.3.3.'!$I$1527</f>
        <v>0</v>
      </c>
      <c r="F146" s="167">
        <f>'[14]6.3.3.'!$J$1527</f>
        <v>268010</v>
      </c>
      <c r="G146" s="167">
        <v>0</v>
      </c>
      <c r="H146" s="167">
        <f>'[14]6.3.3.'!$L$1527</f>
        <v>0</v>
      </c>
      <c r="I146" s="167"/>
      <c r="J146" s="167">
        <f>'[14]6.3.3.'!$M$1527</f>
        <v>2518884</v>
      </c>
      <c r="K146" s="53">
        <v>0</v>
      </c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</row>
    <row r="147" spans="1:39" s="51" customFormat="1" ht="15" customHeight="1" x14ac:dyDescent="0.25">
      <c r="A147" s="163" t="s">
        <v>170</v>
      </c>
      <c r="B147" s="55" t="s">
        <v>19</v>
      </c>
      <c r="C147" s="167">
        <f>SUM(D147:G147)</f>
        <v>3238188</v>
      </c>
      <c r="D147" s="167">
        <f>'[14]6.3.3.'!$H$1538</f>
        <v>3238188</v>
      </c>
      <c r="E147" s="167">
        <f>'[14]6.3.3.'!$I$1538</f>
        <v>0</v>
      </c>
      <c r="F147" s="167">
        <f>'[14]6.3.3.'!$J$1538</f>
        <v>0</v>
      </c>
      <c r="G147" s="167">
        <v>0</v>
      </c>
      <c r="H147" s="167">
        <f>'[14]6.3.3.'!$L$1538</f>
        <v>0</v>
      </c>
      <c r="I147" s="167"/>
      <c r="J147" s="167">
        <f>'[14]6.3.3.'!$M$1538</f>
        <v>3238188</v>
      </c>
      <c r="K147" s="53">
        <v>0</v>
      </c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</row>
    <row r="148" spans="1:39" s="56" customFormat="1" ht="33" customHeight="1" x14ac:dyDescent="0.25">
      <c r="A148" s="162">
        <v>48</v>
      </c>
      <c r="B148" s="57" t="s">
        <v>409</v>
      </c>
      <c r="C148" s="166">
        <f>SUM(C149:C150)</f>
        <v>5447322.5999999996</v>
      </c>
      <c r="D148" s="166">
        <f t="shared" ref="D148:G148" si="94">SUM(D149:D150)</f>
        <v>542993.6</v>
      </c>
      <c r="E148" s="166">
        <f t="shared" si="94"/>
        <v>4904329</v>
      </c>
      <c r="F148" s="166">
        <f t="shared" si="94"/>
        <v>0</v>
      </c>
      <c r="G148" s="166">
        <f t="shared" si="94"/>
        <v>0</v>
      </c>
      <c r="H148" s="166">
        <f t="shared" ref="H148:J148" si="95">SUM(H149:H150)</f>
        <v>542993.6</v>
      </c>
      <c r="I148" s="166">
        <f t="shared" si="95"/>
        <v>0</v>
      </c>
      <c r="J148" s="166">
        <f t="shared" si="95"/>
        <v>4904329</v>
      </c>
      <c r="K148" s="53">
        <v>5117901</v>
      </c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</row>
    <row r="149" spans="1:39" s="54" customFormat="1" ht="15" customHeight="1" x14ac:dyDescent="0.25">
      <c r="A149" s="163" t="s">
        <v>172</v>
      </c>
      <c r="B149" s="55" t="s">
        <v>17</v>
      </c>
      <c r="C149" s="167">
        <f>SUM(D149:G149)</f>
        <v>918993.6</v>
      </c>
      <c r="D149" s="167">
        <f>'[14]6.3.3.'!$H$1556</f>
        <v>542993.6</v>
      </c>
      <c r="E149" s="167">
        <f>'[14]6.3.3.'!$I$1556</f>
        <v>376000</v>
      </c>
      <c r="F149" s="167">
        <f>'[14]6.3.3.'!$J$1556</f>
        <v>0</v>
      </c>
      <c r="G149" s="167">
        <f>'[14]6.3.3.'!$K$1556</f>
        <v>0</v>
      </c>
      <c r="H149" s="167">
        <f>'[14]6.3.3.'!$L$1556</f>
        <v>542993.6</v>
      </c>
      <c r="I149" s="167"/>
      <c r="J149" s="167">
        <f>'[14]6.3.3.'!$M$1556</f>
        <v>376000</v>
      </c>
      <c r="K149" s="53">
        <v>1800801</v>
      </c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</row>
    <row r="150" spans="1:39" s="51" customFormat="1" ht="15" customHeight="1" x14ac:dyDescent="0.25">
      <c r="A150" s="163" t="s">
        <v>173</v>
      </c>
      <c r="B150" s="55" t="s">
        <v>19</v>
      </c>
      <c r="C150" s="167">
        <f>SUM(D150:G150)</f>
        <v>4528329</v>
      </c>
      <c r="D150" s="167">
        <f>'[14]6.3.3.'!$H$1565</f>
        <v>0</v>
      </c>
      <c r="E150" s="167">
        <f>'[14]6.3.3.'!$I$1565</f>
        <v>4528329</v>
      </c>
      <c r="F150" s="167">
        <f>'[14]6.3.3.'!$J$1565</f>
        <v>0</v>
      </c>
      <c r="G150" s="167">
        <v>0</v>
      </c>
      <c r="H150" s="167">
        <f>'[14]6.3.3.'!$L$1565</f>
        <v>0</v>
      </c>
      <c r="I150" s="167"/>
      <c r="J150" s="167">
        <f>'[14]6.3.3.'!$M$1565</f>
        <v>4528329</v>
      </c>
      <c r="K150" s="53">
        <v>3317100</v>
      </c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</row>
    <row r="151" spans="1:39" s="51" customFormat="1" ht="15" customHeight="1" x14ac:dyDescent="0.25">
      <c r="A151" s="164" t="s">
        <v>174</v>
      </c>
      <c r="B151" s="57" t="s">
        <v>410</v>
      </c>
      <c r="C151" s="166">
        <f>SUM(C152:C153)</f>
        <v>3467998</v>
      </c>
      <c r="D151" s="166">
        <f t="shared" ref="D151:G151" si="96">SUM(D152:D153)</f>
        <v>3467998</v>
      </c>
      <c r="E151" s="166">
        <f t="shared" si="96"/>
        <v>0</v>
      </c>
      <c r="F151" s="166">
        <f t="shared" si="96"/>
        <v>0</v>
      </c>
      <c r="G151" s="166">
        <f t="shared" si="96"/>
        <v>0</v>
      </c>
      <c r="H151" s="166">
        <f t="shared" ref="H151:J151" si="97">SUM(H152:H153)</f>
        <v>2650498</v>
      </c>
      <c r="I151" s="166">
        <f t="shared" si="97"/>
        <v>0</v>
      </c>
      <c r="J151" s="166">
        <f t="shared" si="97"/>
        <v>817500.00000000023</v>
      </c>
      <c r="K151" s="53">
        <v>2331000</v>
      </c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</row>
    <row r="152" spans="1:39" s="51" customFormat="1" ht="15" customHeight="1" x14ac:dyDescent="0.25">
      <c r="A152" s="163" t="s">
        <v>176</v>
      </c>
      <c r="B152" s="55" t="s">
        <v>17</v>
      </c>
      <c r="C152" s="167">
        <f>SUM(D152:G152)</f>
        <v>577160</v>
      </c>
      <c r="D152" s="167">
        <f>'[14]6.3.3.'!$H$1589</f>
        <v>577160</v>
      </c>
      <c r="E152" s="167">
        <v>0</v>
      </c>
      <c r="F152" s="167">
        <v>0</v>
      </c>
      <c r="G152" s="167">
        <v>0</v>
      </c>
      <c r="H152" s="167">
        <f>'[14]6.3.3.'!$L$1589</f>
        <v>577160</v>
      </c>
      <c r="I152" s="167"/>
      <c r="J152" s="167">
        <v>0</v>
      </c>
      <c r="K152" s="53">
        <v>2331000</v>
      </c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</row>
    <row r="153" spans="1:39" s="58" customFormat="1" ht="15" customHeight="1" x14ac:dyDescent="0.25">
      <c r="A153" s="163" t="s">
        <v>177</v>
      </c>
      <c r="B153" s="55" t="s">
        <v>19</v>
      </c>
      <c r="C153" s="167">
        <f>SUM(D153:G153)</f>
        <v>2890838</v>
      </c>
      <c r="D153" s="167">
        <f>'[14]6.3.3.'!$H$1597</f>
        <v>2890838</v>
      </c>
      <c r="E153" s="167">
        <v>0</v>
      </c>
      <c r="F153" s="167">
        <v>0</v>
      </c>
      <c r="G153" s="167">
        <v>0</v>
      </c>
      <c r="H153" s="167">
        <f>'[14]6.3.3.'!$L$1597</f>
        <v>2073337.9999999998</v>
      </c>
      <c r="I153" s="167"/>
      <c r="J153" s="167">
        <f>'[14]6.3.3.'!$M$1597</f>
        <v>817500.00000000023</v>
      </c>
      <c r="K153" s="53">
        <v>0</v>
      </c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</row>
    <row r="154" spans="1:39" s="56" customFormat="1" ht="30.75" customHeight="1" x14ac:dyDescent="0.25">
      <c r="A154" s="162">
        <v>50</v>
      </c>
      <c r="B154" s="246" t="s">
        <v>411</v>
      </c>
      <c r="C154" s="247">
        <f>SUM(C155:C156)</f>
        <v>4219749</v>
      </c>
      <c r="D154" s="247">
        <f t="shared" ref="D154:G154" si="98">SUM(D155:D156)</f>
        <v>3336849</v>
      </c>
      <c r="E154" s="247">
        <f t="shared" si="98"/>
        <v>882900</v>
      </c>
      <c r="F154" s="247">
        <f t="shared" si="98"/>
        <v>0</v>
      </c>
      <c r="G154" s="247">
        <f t="shared" si="98"/>
        <v>0</v>
      </c>
      <c r="H154" s="247">
        <f t="shared" ref="H154:J154" si="99">SUM(H155:H156)</f>
        <v>3336849</v>
      </c>
      <c r="I154" s="247">
        <f t="shared" si="99"/>
        <v>0</v>
      </c>
      <c r="J154" s="247">
        <f t="shared" si="99"/>
        <v>882900</v>
      </c>
      <c r="K154" s="53">
        <v>0</v>
      </c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</row>
    <row r="155" spans="1:39" s="54" customFormat="1" ht="15" customHeight="1" x14ac:dyDescent="0.25">
      <c r="A155" s="163" t="s">
        <v>179</v>
      </c>
      <c r="B155" s="244" t="s">
        <v>17</v>
      </c>
      <c r="C155" s="245">
        <f>SUM(D155:G155)</f>
        <v>847880</v>
      </c>
      <c r="D155" s="245">
        <f>'[12]7.3.1'!$D$208</f>
        <v>847880</v>
      </c>
      <c r="E155" s="245">
        <f>'[14]6.3.3.'!$I$1622</f>
        <v>0</v>
      </c>
      <c r="F155" s="245">
        <v>0</v>
      </c>
      <c r="G155" s="245">
        <v>0</v>
      </c>
      <c r="H155" s="245">
        <f>'[12]7.3.1'!$H$208</f>
        <v>847880</v>
      </c>
      <c r="I155" s="245"/>
      <c r="J155" s="245">
        <f>'[14]6.3.3.'!$M$1622</f>
        <v>0</v>
      </c>
      <c r="K155" s="53">
        <v>0</v>
      </c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</row>
    <row r="156" spans="1:39" s="51" customFormat="1" ht="15" customHeight="1" x14ac:dyDescent="0.25">
      <c r="A156" s="163" t="s">
        <v>180</v>
      </c>
      <c r="B156" s="244" t="s">
        <v>19</v>
      </c>
      <c r="C156" s="245">
        <f>SUM(D156:G156)</f>
        <v>3371869</v>
      </c>
      <c r="D156" s="245">
        <f>'[12]7.3.1'!$D$209</f>
        <v>2488969</v>
      </c>
      <c r="E156" s="245">
        <f>'[12]7.3.1'!$E$209</f>
        <v>882900</v>
      </c>
      <c r="F156" s="245">
        <v>0</v>
      </c>
      <c r="G156" s="245">
        <v>0</v>
      </c>
      <c r="H156" s="245">
        <f>'[12]7.3.1'!$H$209</f>
        <v>2488969</v>
      </c>
      <c r="I156" s="245"/>
      <c r="J156" s="245">
        <f>'[12]7.3.1'!$I$209</f>
        <v>882900</v>
      </c>
      <c r="K156" s="53">
        <v>0</v>
      </c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</row>
    <row r="157" spans="1:39" s="56" customFormat="1" ht="36" customHeight="1" x14ac:dyDescent="0.25">
      <c r="A157" s="162">
        <v>51</v>
      </c>
      <c r="B157" s="246" t="s">
        <v>412</v>
      </c>
      <c r="C157" s="247">
        <f>SUM(C158:C159)</f>
        <v>4685170</v>
      </c>
      <c r="D157" s="247">
        <f t="shared" ref="D157:G157" si="100">SUM(D158:D159)</f>
        <v>4685170</v>
      </c>
      <c r="E157" s="247">
        <f t="shared" si="100"/>
        <v>0</v>
      </c>
      <c r="F157" s="247">
        <f t="shared" si="100"/>
        <v>0</v>
      </c>
      <c r="G157" s="247">
        <f t="shared" si="100"/>
        <v>0</v>
      </c>
      <c r="H157" s="247">
        <f t="shared" ref="H157:J157" si="101">SUM(H158:H159)</f>
        <v>4685170</v>
      </c>
      <c r="I157" s="247">
        <f t="shared" si="101"/>
        <v>0</v>
      </c>
      <c r="J157" s="247">
        <f t="shared" si="101"/>
        <v>0</v>
      </c>
      <c r="K157" s="53">
        <v>5043700</v>
      </c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</row>
    <row r="158" spans="1:39" s="54" customFormat="1" ht="15" customHeight="1" x14ac:dyDescent="0.25">
      <c r="A158" s="163" t="s">
        <v>182</v>
      </c>
      <c r="B158" s="244" t="s">
        <v>17</v>
      </c>
      <c r="C158" s="245">
        <f>SUM(D158:G158)</f>
        <v>2094438</v>
      </c>
      <c r="D158" s="245">
        <f>'[12]7.3.1'!$D$212</f>
        <v>2094438</v>
      </c>
      <c r="E158" s="245">
        <f>'[14]6.3.3.'!$I$1654</f>
        <v>0</v>
      </c>
      <c r="F158" s="245">
        <f>'[14]6.3.3.'!$J$1654</f>
        <v>0</v>
      </c>
      <c r="G158" s="245">
        <v>0</v>
      </c>
      <c r="H158" s="245">
        <f>'[12]7.3.1'!$H$212</f>
        <v>2094438</v>
      </c>
      <c r="I158" s="245"/>
      <c r="J158" s="245">
        <f>'[12]7.3.1'!$I$212</f>
        <v>0</v>
      </c>
      <c r="K158" s="53">
        <v>2566700</v>
      </c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</row>
    <row r="159" spans="1:39" s="51" customFormat="1" ht="15" customHeight="1" x14ac:dyDescent="0.25">
      <c r="A159" s="163" t="s">
        <v>183</v>
      </c>
      <c r="B159" s="244" t="s">
        <v>19</v>
      </c>
      <c r="C159" s="245">
        <f>SUM(D159:G159)</f>
        <v>2590732</v>
      </c>
      <c r="D159" s="245">
        <f>'[12]7.3.1'!$D$213</f>
        <v>2590732</v>
      </c>
      <c r="E159" s="245">
        <f>'[14]6.3.3.'!$I$1662</f>
        <v>0</v>
      </c>
      <c r="F159" s="245">
        <f>'[14]6.3.3.'!$J$1662</f>
        <v>0</v>
      </c>
      <c r="G159" s="245">
        <v>0</v>
      </c>
      <c r="H159" s="245">
        <f>'[12]7.3.1'!$H$213</f>
        <v>2590732</v>
      </c>
      <c r="I159" s="245"/>
      <c r="J159" s="245">
        <f>'[12]7.3.1'!$I$213</f>
        <v>0</v>
      </c>
      <c r="K159" s="53">
        <v>2477000</v>
      </c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</row>
    <row r="160" spans="1:39" s="51" customFormat="1" ht="34.5" customHeight="1" x14ac:dyDescent="0.25">
      <c r="A160" s="164" t="s">
        <v>184</v>
      </c>
      <c r="B160" s="246" t="s">
        <v>418</v>
      </c>
      <c r="C160" s="247">
        <f>SUM(C161:C162)</f>
        <v>4160368.6</v>
      </c>
      <c r="D160" s="247">
        <f t="shared" ref="D160:G160" si="102">SUM(D161:D162)</f>
        <v>3708300.6</v>
      </c>
      <c r="E160" s="247">
        <f t="shared" si="102"/>
        <v>0</v>
      </c>
      <c r="F160" s="247">
        <f t="shared" si="102"/>
        <v>452068</v>
      </c>
      <c r="G160" s="247">
        <f t="shared" si="102"/>
        <v>0</v>
      </c>
      <c r="H160" s="247">
        <f t="shared" ref="H160:J160" si="103">SUM(H161:H162)</f>
        <v>2678250.6</v>
      </c>
      <c r="I160" s="247">
        <f t="shared" si="103"/>
        <v>0</v>
      </c>
      <c r="J160" s="247">
        <f t="shared" si="103"/>
        <v>1482118</v>
      </c>
      <c r="K160" s="53">
        <v>0</v>
      </c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</row>
    <row r="161" spans="1:83" s="51" customFormat="1" ht="15" customHeight="1" x14ac:dyDescent="0.25">
      <c r="A161" s="163" t="s">
        <v>186</v>
      </c>
      <c r="B161" s="244" t="s">
        <v>17</v>
      </c>
      <c r="C161" s="245">
        <f>SUM(D161:G161)</f>
        <v>866230.6</v>
      </c>
      <c r="D161" s="245">
        <f>'[12]7.3.1'!$D$216</f>
        <v>414162.6</v>
      </c>
      <c r="E161" s="245">
        <v>0</v>
      </c>
      <c r="F161" s="245">
        <f>'[12]7.3.1'!$F$216</f>
        <v>452068</v>
      </c>
      <c r="G161" s="245">
        <v>0</v>
      </c>
      <c r="H161" s="245">
        <f>'[12]7.3.1'!$H$216</f>
        <v>414162.6</v>
      </c>
      <c r="I161" s="245"/>
      <c r="J161" s="245">
        <f>'[12]7.3.1'!$I$216</f>
        <v>452068</v>
      </c>
      <c r="K161" s="53">
        <v>0</v>
      </c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</row>
    <row r="162" spans="1:83" s="58" customFormat="1" ht="15" customHeight="1" x14ac:dyDescent="0.25">
      <c r="A162" s="163" t="s">
        <v>187</v>
      </c>
      <c r="B162" s="244" t="s">
        <v>19</v>
      </c>
      <c r="C162" s="245">
        <f>SUM(D162:G162)</f>
        <v>3294138</v>
      </c>
      <c r="D162" s="245">
        <f>'[12]7.3.1'!$D$217</f>
        <v>3294138</v>
      </c>
      <c r="E162" s="245">
        <v>0</v>
      </c>
      <c r="F162" s="245">
        <f>'[14]6.3.3.'!$J$1695</f>
        <v>0</v>
      </c>
      <c r="G162" s="245">
        <v>0</v>
      </c>
      <c r="H162" s="245">
        <f>'[12]7.3.1'!$H$217</f>
        <v>2264088</v>
      </c>
      <c r="I162" s="245"/>
      <c r="J162" s="245">
        <f>'[12]7.3.1'!$I$217</f>
        <v>1030050</v>
      </c>
      <c r="K162" s="53">
        <v>0</v>
      </c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</row>
    <row r="163" spans="1:83" s="56" customFormat="1" ht="48.75" customHeight="1" x14ac:dyDescent="0.25">
      <c r="A163" s="162">
        <v>53</v>
      </c>
      <c r="B163" s="246" t="s">
        <v>419</v>
      </c>
      <c r="C163" s="247">
        <f>SUM(C164:C165)</f>
        <v>10766772</v>
      </c>
      <c r="D163" s="247">
        <f t="shared" ref="D163:G163" si="104">SUM(D164:D165)</f>
        <v>6801272</v>
      </c>
      <c r="E163" s="247">
        <f t="shared" si="104"/>
        <v>3965500</v>
      </c>
      <c r="F163" s="247">
        <f t="shared" si="104"/>
        <v>0</v>
      </c>
      <c r="G163" s="247">
        <f t="shared" si="104"/>
        <v>0</v>
      </c>
      <c r="H163" s="247">
        <f t="shared" ref="H163:J163" si="105">SUM(H164:H165)</f>
        <v>6801272</v>
      </c>
      <c r="I163" s="247">
        <f t="shared" si="105"/>
        <v>0</v>
      </c>
      <c r="J163" s="247">
        <f t="shared" si="105"/>
        <v>3965500</v>
      </c>
      <c r="K163" s="53">
        <v>0</v>
      </c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</row>
    <row r="164" spans="1:83" s="54" customFormat="1" ht="15" customHeight="1" x14ac:dyDescent="0.25">
      <c r="A164" s="163" t="s">
        <v>189</v>
      </c>
      <c r="B164" s="244" t="s">
        <v>17</v>
      </c>
      <c r="C164" s="245">
        <f>SUM(D164:G164)</f>
        <v>2585052</v>
      </c>
      <c r="D164" s="245">
        <f>'[12]7.3.1'!$D$220</f>
        <v>1747852</v>
      </c>
      <c r="E164" s="245">
        <f>'[12]7.3.1'!$E$220</f>
        <v>837200</v>
      </c>
      <c r="F164" s="245">
        <f>'[14]6.3.3.'!$J$1719</f>
        <v>0</v>
      </c>
      <c r="G164" s="245">
        <v>0</v>
      </c>
      <c r="H164" s="245">
        <f>'[12]7.3.1'!$H$220</f>
        <v>1747852</v>
      </c>
      <c r="I164" s="245"/>
      <c r="J164" s="245">
        <f>'[12]7.3.1'!$I$220</f>
        <v>837200</v>
      </c>
      <c r="K164" s="53">
        <v>0</v>
      </c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</row>
    <row r="165" spans="1:83" s="51" customFormat="1" ht="15" customHeight="1" x14ac:dyDescent="0.25">
      <c r="A165" s="163" t="s">
        <v>190</v>
      </c>
      <c r="B165" s="244" t="s">
        <v>19</v>
      </c>
      <c r="C165" s="245">
        <f>SUM(D165:G165)</f>
        <v>8181720</v>
      </c>
      <c r="D165" s="245">
        <f>'[12]7.3.1'!$D$221</f>
        <v>5053420</v>
      </c>
      <c r="E165" s="245">
        <f>'[12]7.3.1'!$E$221</f>
        <v>3128300</v>
      </c>
      <c r="F165" s="245">
        <f>'[14]6.3.3.'!$J$1728</f>
        <v>0</v>
      </c>
      <c r="G165" s="245">
        <v>0</v>
      </c>
      <c r="H165" s="245">
        <f>'[12]7.3.1'!$H$221</f>
        <v>5053420</v>
      </c>
      <c r="I165" s="245"/>
      <c r="J165" s="245">
        <f>'[12]7.3.1'!$I$221</f>
        <v>3128300</v>
      </c>
      <c r="K165" s="53">
        <v>0</v>
      </c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</row>
    <row r="166" spans="1:83" s="56" customFormat="1" ht="48" customHeight="1" x14ac:dyDescent="0.25">
      <c r="A166" s="162">
        <v>54</v>
      </c>
      <c r="B166" s="57" t="s">
        <v>420</v>
      </c>
      <c r="C166" s="166">
        <f>SUM(C167:C168)</f>
        <v>6734719.9999999981</v>
      </c>
      <c r="D166" s="166">
        <f t="shared" ref="D166:G166" si="106">SUM(D167:D168)</f>
        <v>0</v>
      </c>
      <c r="E166" s="166">
        <f t="shared" si="106"/>
        <v>0</v>
      </c>
      <c r="F166" s="166">
        <f t="shared" si="106"/>
        <v>6734719.9999999981</v>
      </c>
      <c r="G166" s="166">
        <f t="shared" si="106"/>
        <v>0</v>
      </c>
      <c r="H166" s="166">
        <f t="shared" ref="H166:J166" si="107">SUM(H167:H168)</f>
        <v>0</v>
      </c>
      <c r="I166" s="166">
        <f t="shared" si="107"/>
        <v>0</v>
      </c>
      <c r="J166" s="166">
        <f t="shared" si="107"/>
        <v>6734719.9999999981</v>
      </c>
      <c r="K166" s="53">
        <v>0</v>
      </c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</row>
    <row r="167" spans="1:83" s="54" customFormat="1" ht="15" customHeight="1" x14ac:dyDescent="0.25">
      <c r="A167" s="163" t="s">
        <v>192</v>
      </c>
      <c r="B167" s="55" t="s">
        <v>17</v>
      </c>
      <c r="C167" s="167">
        <f>SUM(D167:G167)</f>
        <v>6734719.9999999981</v>
      </c>
      <c r="D167" s="167">
        <f>'[14]6.3.3.'!$H$1753</f>
        <v>0</v>
      </c>
      <c r="E167" s="167">
        <v>0</v>
      </c>
      <c r="F167" s="167">
        <f>'[14]6.3.3.'!$J$1753</f>
        <v>6734719.9999999981</v>
      </c>
      <c r="G167" s="167">
        <v>0</v>
      </c>
      <c r="H167" s="167">
        <f>'[14]6.3.3.'!$L$1753</f>
        <v>0</v>
      </c>
      <c r="I167" s="167"/>
      <c r="J167" s="167">
        <f>'[14]6.3.3.'!$M$1753</f>
        <v>6734719.9999999981</v>
      </c>
      <c r="K167" s="53">
        <v>0</v>
      </c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</row>
    <row r="168" spans="1:83" s="51" customFormat="1" ht="15" customHeight="1" x14ac:dyDescent="0.25">
      <c r="A168" s="163" t="s">
        <v>193</v>
      </c>
      <c r="B168" s="55" t="s">
        <v>19</v>
      </c>
      <c r="C168" s="167">
        <f>SUM(D168:G168)</f>
        <v>0</v>
      </c>
      <c r="D168" s="167">
        <f>'[14]6.3.3.'!$H$1795</f>
        <v>0</v>
      </c>
      <c r="E168" s="167">
        <v>0</v>
      </c>
      <c r="F168" s="167">
        <f>'[14]6.3.3.'!$J$1795</f>
        <v>0</v>
      </c>
      <c r="G168" s="167">
        <v>0</v>
      </c>
      <c r="H168" s="167">
        <f>'[14]6.3.3.'!$L$1795</f>
        <v>0</v>
      </c>
      <c r="I168" s="167"/>
      <c r="J168" s="167">
        <f>'[14]6.3.3.'!$M$1795</f>
        <v>0</v>
      </c>
      <c r="K168" s="53">
        <v>0</v>
      </c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  <c r="AM168" s="52"/>
    </row>
    <row r="169" spans="1:83" s="51" customFormat="1" ht="30" customHeight="1" x14ac:dyDescent="0.25">
      <c r="A169" s="164" t="s">
        <v>194</v>
      </c>
      <c r="B169" s="57" t="s">
        <v>421</v>
      </c>
      <c r="C169" s="166">
        <f>SUM(C170:C171)</f>
        <v>3124869</v>
      </c>
      <c r="D169" s="166">
        <f t="shared" ref="D169:G169" si="108">SUM(D170:D171)</f>
        <v>0</v>
      </c>
      <c r="E169" s="166">
        <f t="shared" si="108"/>
        <v>3124869</v>
      </c>
      <c r="F169" s="166">
        <f t="shared" si="108"/>
        <v>0</v>
      </c>
      <c r="G169" s="166">
        <f t="shared" si="108"/>
        <v>0</v>
      </c>
      <c r="H169" s="166">
        <f t="shared" ref="H169:J169" si="109">SUM(H170:H171)</f>
        <v>0</v>
      </c>
      <c r="I169" s="166">
        <f t="shared" si="109"/>
        <v>0</v>
      </c>
      <c r="J169" s="166">
        <f t="shared" si="109"/>
        <v>3124869</v>
      </c>
      <c r="K169" s="53">
        <v>1110800</v>
      </c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</row>
    <row r="170" spans="1:83" s="51" customFormat="1" ht="15" customHeight="1" x14ac:dyDescent="0.25">
      <c r="A170" s="163" t="s">
        <v>196</v>
      </c>
      <c r="B170" s="55" t="s">
        <v>17</v>
      </c>
      <c r="C170" s="167">
        <f>SUM(D170:G170)</f>
        <v>0</v>
      </c>
      <c r="D170" s="167">
        <f>'[14]6.3.3.'!$H$1814</f>
        <v>0</v>
      </c>
      <c r="E170" s="167">
        <f>'[14]6.3.3.'!$I$1814</f>
        <v>0</v>
      </c>
      <c r="F170" s="167">
        <v>0</v>
      </c>
      <c r="G170" s="167">
        <v>0</v>
      </c>
      <c r="H170" s="167">
        <f>'[14]6.3.3.'!$L$1814</f>
        <v>0</v>
      </c>
      <c r="I170" s="167"/>
      <c r="J170" s="167">
        <f>'[14]6.3.3.'!$M$1814</f>
        <v>0</v>
      </c>
      <c r="K170" s="53">
        <v>515800</v>
      </c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  <c r="AM170" s="52"/>
    </row>
    <row r="171" spans="1:83" s="58" customFormat="1" ht="15" customHeight="1" x14ac:dyDescent="0.25">
      <c r="A171" s="163" t="s">
        <v>197</v>
      </c>
      <c r="B171" s="55" t="s">
        <v>19</v>
      </c>
      <c r="C171" s="167">
        <f>SUM(D171:G171)</f>
        <v>3124869</v>
      </c>
      <c r="D171" s="167">
        <f>'[14]6.3.3.'!$H$1822</f>
        <v>0</v>
      </c>
      <c r="E171" s="167">
        <f>'[14]6.3.3.'!$I$1822</f>
        <v>3124869</v>
      </c>
      <c r="F171" s="167">
        <v>0</v>
      </c>
      <c r="G171" s="167">
        <v>0</v>
      </c>
      <c r="H171" s="167">
        <f>'[14]6.3.3.'!$L$1822</f>
        <v>0</v>
      </c>
      <c r="I171" s="167"/>
      <c r="J171" s="167">
        <f>'[14]6.3.3.'!$M$1822</f>
        <v>3124869</v>
      </c>
      <c r="K171" s="53">
        <v>595000</v>
      </c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2"/>
    </row>
    <row r="172" spans="1:83" s="56" customFormat="1" ht="39" customHeight="1" x14ac:dyDescent="0.25">
      <c r="A172" s="162">
        <v>56</v>
      </c>
      <c r="B172" s="57" t="s">
        <v>422</v>
      </c>
      <c r="C172" s="166">
        <f>SUM(C173:C174)</f>
        <v>443199</v>
      </c>
      <c r="D172" s="166">
        <f t="shared" ref="D172:G172" si="110">SUM(D173:D174)</f>
        <v>0</v>
      </c>
      <c r="E172" s="166">
        <f t="shared" si="110"/>
        <v>0</v>
      </c>
      <c r="F172" s="166">
        <f t="shared" si="110"/>
        <v>443199</v>
      </c>
      <c r="G172" s="166">
        <f t="shared" si="110"/>
        <v>0</v>
      </c>
      <c r="H172" s="166">
        <f t="shared" ref="H172:J172" si="111">SUM(H173:H174)</f>
        <v>0</v>
      </c>
      <c r="I172" s="166">
        <f t="shared" si="111"/>
        <v>0</v>
      </c>
      <c r="J172" s="166">
        <f t="shared" si="111"/>
        <v>443199</v>
      </c>
      <c r="K172" s="53">
        <v>5631300</v>
      </c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9"/>
      <c r="AO172" s="59"/>
      <c r="AP172" s="59"/>
      <c r="AQ172" s="59"/>
      <c r="AR172" s="59"/>
      <c r="AS172" s="59"/>
      <c r="AT172" s="59"/>
      <c r="AU172" s="59"/>
      <c r="AV172" s="59"/>
      <c r="AW172" s="59"/>
      <c r="AX172" s="59"/>
      <c r="AY172" s="59"/>
      <c r="AZ172" s="59"/>
      <c r="BA172" s="59"/>
      <c r="BB172" s="59"/>
      <c r="BC172" s="59"/>
      <c r="BD172" s="59"/>
      <c r="BE172" s="59"/>
      <c r="BF172" s="59"/>
      <c r="BG172" s="59"/>
      <c r="BH172" s="59"/>
      <c r="BI172" s="59"/>
      <c r="BJ172" s="59"/>
      <c r="BK172" s="59"/>
      <c r="BL172" s="59"/>
      <c r="BM172" s="59"/>
      <c r="BN172" s="59"/>
      <c r="BO172" s="59"/>
      <c r="BP172" s="59"/>
      <c r="BQ172" s="59"/>
      <c r="BR172" s="59"/>
      <c r="BS172" s="59"/>
      <c r="BT172" s="59"/>
      <c r="BU172" s="59"/>
      <c r="BV172" s="59"/>
      <c r="BW172" s="59"/>
      <c r="BX172" s="59"/>
      <c r="BY172" s="59"/>
      <c r="BZ172" s="59"/>
      <c r="CA172" s="59"/>
      <c r="CB172" s="59"/>
      <c r="CC172" s="59"/>
      <c r="CD172" s="59"/>
      <c r="CE172" s="59"/>
    </row>
    <row r="173" spans="1:83" s="54" customFormat="1" ht="15" customHeight="1" x14ac:dyDescent="0.25">
      <c r="A173" s="163" t="s">
        <v>199</v>
      </c>
      <c r="B173" s="55" t="s">
        <v>17</v>
      </c>
      <c r="C173" s="167">
        <f>SUM(D173:G173)</f>
        <v>443199</v>
      </c>
      <c r="D173" s="167">
        <f>'[14]6.3.3.'!$H$1842</f>
        <v>0</v>
      </c>
      <c r="E173" s="167">
        <v>0</v>
      </c>
      <c r="F173" s="167">
        <f>'[14]6.3.3.'!$J$1842</f>
        <v>443199</v>
      </c>
      <c r="G173" s="167">
        <v>0</v>
      </c>
      <c r="H173" s="167">
        <f>'[14]6.3.3.'!$L$1842</f>
        <v>0</v>
      </c>
      <c r="I173" s="167"/>
      <c r="J173" s="167">
        <f>'[14]6.3.3.'!$M$1842</f>
        <v>443199</v>
      </c>
      <c r="K173" s="53">
        <v>414000</v>
      </c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  <c r="BF173" s="52"/>
      <c r="BG173" s="52"/>
      <c r="BH173" s="52"/>
      <c r="BI173" s="52"/>
      <c r="BJ173" s="52"/>
      <c r="BK173" s="52"/>
      <c r="BL173" s="52"/>
      <c r="BM173" s="52"/>
      <c r="BN173" s="52"/>
      <c r="BO173" s="52"/>
      <c r="BP173" s="52"/>
      <c r="BQ173" s="52"/>
      <c r="BR173" s="52"/>
      <c r="BS173" s="52"/>
      <c r="BT173" s="52"/>
      <c r="BU173" s="52"/>
      <c r="BV173" s="52"/>
      <c r="BW173" s="52"/>
      <c r="BX173" s="52"/>
      <c r="BY173" s="52"/>
      <c r="BZ173" s="52"/>
      <c r="CA173" s="52"/>
      <c r="CB173" s="52"/>
      <c r="CC173" s="52"/>
      <c r="CD173" s="52"/>
      <c r="CE173" s="52"/>
    </row>
    <row r="174" spans="1:83" s="51" customFormat="1" ht="15" customHeight="1" x14ac:dyDescent="0.25">
      <c r="A174" s="163" t="s">
        <v>200</v>
      </c>
      <c r="B174" s="55" t="s">
        <v>19</v>
      </c>
      <c r="C174" s="167">
        <f>SUM(D174:G174)</f>
        <v>0</v>
      </c>
      <c r="D174" s="167">
        <f>'[14]6.3.3.'!$H$1850</f>
        <v>0</v>
      </c>
      <c r="E174" s="167">
        <v>0</v>
      </c>
      <c r="F174" s="167">
        <f>'[14]6.3.3.'!$J$1850</f>
        <v>0</v>
      </c>
      <c r="G174" s="167">
        <v>0</v>
      </c>
      <c r="H174" s="167">
        <f>'[14]6.3.3.'!$L$1850</f>
        <v>0</v>
      </c>
      <c r="I174" s="167"/>
      <c r="J174" s="167">
        <f>'[14]6.3.3.'!$M$1850</f>
        <v>0</v>
      </c>
      <c r="K174" s="53">
        <v>5217300</v>
      </c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2"/>
      <c r="AN174" s="52"/>
      <c r="AO174" s="52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  <c r="BD174" s="52"/>
      <c r="BE174" s="52"/>
      <c r="BF174" s="52"/>
      <c r="BG174" s="52"/>
      <c r="BH174" s="52"/>
      <c r="BI174" s="52"/>
      <c r="BJ174" s="52"/>
      <c r="BK174" s="52"/>
      <c r="BL174" s="52"/>
      <c r="BM174" s="52"/>
      <c r="BN174" s="52"/>
      <c r="BO174" s="52"/>
      <c r="BP174" s="52"/>
      <c r="BQ174" s="52"/>
      <c r="BR174" s="52"/>
      <c r="BS174" s="52"/>
      <c r="BT174" s="52"/>
      <c r="BU174" s="52"/>
      <c r="BV174" s="52"/>
      <c r="BW174" s="52"/>
      <c r="BX174" s="52"/>
      <c r="BY174" s="52"/>
      <c r="BZ174" s="52"/>
      <c r="CA174" s="52"/>
      <c r="CB174" s="52"/>
      <c r="CC174" s="52"/>
      <c r="CD174" s="52"/>
      <c r="CE174" s="52"/>
    </row>
    <row r="175" spans="1:83" s="56" customFormat="1" ht="37.5" customHeight="1" x14ac:dyDescent="0.25">
      <c r="A175" s="162">
        <v>57</v>
      </c>
      <c r="B175" s="57" t="s">
        <v>423</v>
      </c>
      <c r="C175" s="166">
        <f>SUM(C176:C177)</f>
        <v>5649390</v>
      </c>
      <c r="D175" s="166">
        <f t="shared" ref="D175:G175" si="112">SUM(D176:D177)</f>
        <v>0</v>
      </c>
      <c r="E175" s="166">
        <f t="shared" si="112"/>
        <v>5649390</v>
      </c>
      <c r="F175" s="166">
        <f t="shared" si="112"/>
        <v>0</v>
      </c>
      <c r="G175" s="166">
        <f t="shared" si="112"/>
        <v>0</v>
      </c>
      <c r="H175" s="166">
        <f t="shared" ref="H175:J175" si="113">SUM(H176:H177)</f>
        <v>0</v>
      </c>
      <c r="I175" s="166">
        <f t="shared" si="113"/>
        <v>0</v>
      </c>
      <c r="J175" s="166">
        <f t="shared" si="113"/>
        <v>5649390</v>
      </c>
      <c r="K175" s="53">
        <v>0</v>
      </c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3"/>
      <c r="BQ175" s="53"/>
      <c r="BR175" s="53"/>
      <c r="BS175" s="53"/>
      <c r="BT175" s="53"/>
      <c r="BU175" s="53"/>
      <c r="BV175" s="53"/>
      <c r="BW175" s="53"/>
      <c r="BX175" s="53"/>
      <c r="BY175" s="53"/>
      <c r="BZ175" s="53"/>
      <c r="CA175" s="53"/>
      <c r="CB175" s="53"/>
      <c r="CC175" s="53"/>
      <c r="CD175" s="53"/>
      <c r="CE175" s="53"/>
    </row>
    <row r="176" spans="1:83" s="54" customFormat="1" ht="15" customHeight="1" x14ac:dyDescent="0.25">
      <c r="A176" s="163" t="s">
        <v>202</v>
      </c>
      <c r="B176" s="55" t="s">
        <v>17</v>
      </c>
      <c r="C176" s="167">
        <f>SUM(D176:G176)</f>
        <v>2356821</v>
      </c>
      <c r="D176" s="167">
        <f>'[14]6.3.3.'!$H$1869</f>
        <v>0</v>
      </c>
      <c r="E176" s="167">
        <f>'[14]6.3.3.'!$I$1869</f>
        <v>2356821</v>
      </c>
      <c r="F176" s="167">
        <v>0</v>
      </c>
      <c r="G176" s="167">
        <v>0</v>
      </c>
      <c r="H176" s="167">
        <f>'[14]6.3.3.'!$L$1869</f>
        <v>0</v>
      </c>
      <c r="I176" s="167"/>
      <c r="J176" s="167">
        <f>'[14]6.3.3.'!$M$1869</f>
        <v>2356821</v>
      </c>
      <c r="K176" s="53">
        <v>0</v>
      </c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  <c r="BF176" s="52"/>
      <c r="BG176" s="52"/>
      <c r="BH176" s="52"/>
      <c r="BI176" s="52"/>
      <c r="BJ176" s="52"/>
      <c r="BK176" s="52"/>
      <c r="BL176" s="52"/>
      <c r="BM176" s="52"/>
      <c r="BN176" s="52"/>
      <c r="BO176" s="52"/>
      <c r="BP176" s="52"/>
      <c r="BQ176" s="52"/>
      <c r="BR176" s="52"/>
      <c r="BS176" s="52"/>
      <c r="BT176" s="52"/>
      <c r="BU176" s="52"/>
      <c r="BV176" s="52"/>
      <c r="BW176" s="52"/>
      <c r="BX176" s="52"/>
      <c r="BY176" s="52"/>
      <c r="BZ176" s="52"/>
      <c r="CA176" s="52"/>
      <c r="CB176" s="52"/>
      <c r="CC176" s="52"/>
      <c r="CD176" s="52"/>
      <c r="CE176" s="52"/>
    </row>
    <row r="177" spans="1:83" s="51" customFormat="1" ht="15" customHeight="1" x14ac:dyDescent="0.25">
      <c r="A177" s="163" t="s">
        <v>203</v>
      </c>
      <c r="B177" s="55" t="s">
        <v>19</v>
      </c>
      <c r="C177" s="167">
        <f>SUM(D177:G177)</f>
        <v>3292569</v>
      </c>
      <c r="D177" s="167">
        <f>'[14]6.3.3.'!$H$1881</f>
        <v>0</v>
      </c>
      <c r="E177" s="167">
        <f>'[14]6.3.3.'!$I$1881</f>
        <v>3292569</v>
      </c>
      <c r="F177" s="167">
        <v>0</v>
      </c>
      <c r="G177" s="167">
        <v>0</v>
      </c>
      <c r="H177" s="167">
        <f>'[14]6.3.3.'!$L$1881</f>
        <v>0</v>
      </c>
      <c r="I177" s="167"/>
      <c r="J177" s="167">
        <f>'[14]6.3.3.'!$M$1881</f>
        <v>3292569</v>
      </c>
      <c r="K177" s="53">
        <v>0</v>
      </c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  <c r="AG177" s="52"/>
      <c r="AH177" s="52"/>
      <c r="AI177" s="52"/>
      <c r="AJ177" s="52"/>
      <c r="AK177" s="52"/>
      <c r="AL177" s="52"/>
      <c r="AM177" s="52"/>
      <c r="AN177" s="52"/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  <c r="BD177" s="52"/>
      <c r="BE177" s="52"/>
      <c r="BF177" s="52"/>
      <c r="BG177" s="52"/>
      <c r="BH177" s="52"/>
      <c r="BI177" s="52"/>
      <c r="BJ177" s="52"/>
      <c r="BK177" s="52"/>
      <c r="BL177" s="52"/>
      <c r="BM177" s="52"/>
      <c r="BN177" s="52"/>
      <c r="BO177" s="52"/>
      <c r="BP177" s="52"/>
      <c r="BQ177" s="52"/>
      <c r="BR177" s="52"/>
      <c r="BS177" s="52"/>
      <c r="BT177" s="52"/>
      <c r="BU177" s="52"/>
      <c r="BV177" s="52"/>
      <c r="BW177" s="52"/>
      <c r="BX177" s="52"/>
      <c r="BY177" s="52"/>
      <c r="BZ177" s="52"/>
      <c r="CA177" s="52"/>
      <c r="CB177" s="52"/>
      <c r="CC177" s="52"/>
      <c r="CD177" s="52"/>
      <c r="CE177" s="52"/>
    </row>
    <row r="178" spans="1:83" s="56" customFormat="1" ht="36" customHeight="1" x14ac:dyDescent="0.25">
      <c r="A178" s="162">
        <v>58</v>
      </c>
      <c r="B178" s="57" t="s">
        <v>424</v>
      </c>
      <c r="C178" s="166">
        <f>SUM(C179:C180)</f>
        <v>8780596.5999999996</v>
      </c>
      <c r="D178" s="166">
        <f t="shared" ref="D178:G178" si="114">SUM(D179:D180)</f>
        <v>5381630</v>
      </c>
      <c r="E178" s="166">
        <f t="shared" si="114"/>
        <v>3398966.6</v>
      </c>
      <c r="F178" s="166">
        <f t="shared" si="114"/>
        <v>0</v>
      </c>
      <c r="G178" s="166">
        <f t="shared" si="114"/>
        <v>0</v>
      </c>
      <c r="H178" s="166">
        <f t="shared" ref="H178:J178" si="115">SUM(H179:H180)</f>
        <v>0</v>
      </c>
      <c r="I178" s="166">
        <f t="shared" si="115"/>
        <v>0</v>
      </c>
      <c r="J178" s="166">
        <f t="shared" si="115"/>
        <v>8780596.5999999996</v>
      </c>
      <c r="K178" s="53">
        <v>0</v>
      </c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H178" s="53"/>
      <c r="BI178" s="53"/>
      <c r="BJ178" s="53"/>
      <c r="BK178" s="53"/>
      <c r="BL178" s="53"/>
      <c r="BM178" s="53"/>
      <c r="BN178" s="53"/>
      <c r="BO178" s="53"/>
      <c r="BP178" s="53"/>
      <c r="BQ178" s="53"/>
      <c r="BR178" s="53"/>
      <c r="BS178" s="53"/>
      <c r="BT178" s="53"/>
      <c r="BU178" s="53"/>
      <c r="BV178" s="53"/>
      <c r="BW178" s="53"/>
      <c r="BX178" s="53"/>
      <c r="BY178" s="53"/>
      <c r="BZ178" s="53"/>
      <c r="CA178" s="53"/>
      <c r="CB178" s="53"/>
      <c r="CC178" s="53"/>
      <c r="CD178" s="53"/>
      <c r="CE178" s="53"/>
    </row>
    <row r="179" spans="1:83" s="54" customFormat="1" ht="15" customHeight="1" x14ac:dyDescent="0.25">
      <c r="A179" s="163" t="s">
        <v>205</v>
      </c>
      <c r="B179" s="55" t="s">
        <v>17</v>
      </c>
      <c r="C179" s="167">
        <f>SUM(D179:G179)</f>
        <v>2810289.6</v>
      </c>
      <c r="D179" s="167">
        <f>'[14]6.3.3.'!$H$1903</f>
        <v>1273863</v>
      </c>
      <c r="E179" s="167">
        <f>'[14]6.3.3.'!$I$1903</f>
        <v>1536426.6</v>
      </c>
      <c r="F179" s="167">
        <v>0</v>
      </c>
      <c r="G179" s="167">
        <v>0</v>
      </c>
      <c r="H179" s="167">
        <f>'[14]6.3.3.'!$L$1903</f>
        <v>0</v>
      </c>
      <c r="I179" s="167"/>
      <c r="J179" s="167">
        <f>'[14]6.3.3.'!$M$1903</f>
        <v>2810289.6</v>
      </c>
      <c r="K179" s="53">
        <v>0</v>
      </c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  <c r="AH179" s="52"/>
      <c r="AI179" s="52"/>
      <c r="AJ179" s="52"/>
      <c r="AK179" s="52"/>
      <c r="AL179" s="52"/>
      <c r="AM179" s="52"/>
      <c r="AN179" s="52"/>
      <c r="AO179" s="52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  <c r="BD179" s="52"/>
      <c r="BE179" s="52"/>
      <c r="BF179" s="52"/>
      <c r="BG179" s="52"/>
      <c r="BH179" s="52"/>
      <c r="BI179" s="52"/>
      <c r="BJ179" s="52"/>
      <c r="BK179" s="52"/>
      <c r="BL179" s="52"/>
      <c r="BM179" s="52"/>
      <c r="BN179" s="52"/>
      <c r="BO179" s="52"/>
      <c r="BP179" s="52"/>
      <c r="BQ179" s="52"/>
      <c r="BR179" s="52"/>
      <c r="BS179" s="52"/>
      <c r="BT179" s="52"/>
      <c r="BU179" s="52"/>
      <c r="BV179" s="52"/>
      <c r="BW179" s="52"/>
      <c r="BX179" s="52"/>
      <c r="BY179" s="52"/>
      <c r="BZ179" s="52"/>
      <c r="CA179" s="52"/>
      <c r="CB179" s="52"/>
      <c r="CC179" s="52"/>
      <c r="CD179" s="52"/>
      <c r="CE179" s="52"/>
    </row>
    <row r="180" spans="1:83" s="51" customFormat="1" ht="15" customHeight="1" x14ac:dyDescent="0.25">
      <c r="A180" s="163" t="s">
        <v>206</v>
      </c>
      <c r="B180" s="55" t="s">
        <v>19</v>
      </c>
      <c r="C180" s="167">
        <f>SUM(D180:G180)</f>
        <v>5970307</v>
      </c>
      <c r="D180" s="167">
        <f>'[14]6.3.3.'!$H$1916</f>
        <v>4107767</v>
      </c>
      <c r="E180" s="167">
        <f>'[14]6.3.3.'!$I$1916</f>
        <v>1862540</v>
      </c>
      <c r="F180" s="167">
        <v>0</v>
      </c>
      <c r="G180" s="167">
        <v>0</v>
      </c>
      <c r="H180" s="167">
        <f>'[14]6.3.3.'!$L$1916</f>
        <v>0</v>
      </c>
      <c r="I180" s="167"/>
      <c r="J180" s="167">
        <f>'[14]6.3.3.'!$M$1916</f>
        <v>5970307</v>
      </c>
      <c r="K180" s="53">
        <v>0</v>
      </c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  <c r="AG180" s="52"/>
      <c r="AH180" s="52"/>
      <c r="AI180" s="52"/>
      <c r="AJ180" s="52"/>
      <c r="AK180" s="52"/>
      <c r="AL180" s="52"/>
      <c r="AM180" s="52"/>
      <c r="AN180" s="52"/>
      <c r="AO180" s="52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  <c r="BD180" s="52"/>
      <c r="BE180" s="52"/>
      <c r="BF180" s="52"/>
      <c r="BG180" s="52"/>
      <c r="BH180" s="52"/>
      <c r="BI180" s="52"/>
      <c r="BJ180" s="52"/>
      <c r="BK180" s="52"/>
      <c r="BL180" s="52"/>
      <c r="BM180" s="52"/>
      <c r="BN180" s="52"/>
      <c r="BO180" s="52"/>
      <c r="BP180" s="52"/>
      <c r="BQ180" s="52"/>
      <c r="BR180" s="52"/>
      <c r="BS180" s="52"/>
      <c r="BT180" s="52"/>
      <c r="BU180" s="52"/>
      <c r="BV180" s="52"/>
      <c r="BW180" s="52"/>
      <c r="BX180" s="52"/>
      <c r="BY180" s="52"/>
      <c r="BZ180" s="52"/>
      <c r="CA180" s="52"/>
      <c r="CB180" s="52"/>
      <c r="CC180" s="52"/>
      <c r="CD180" s="52"/>
      <c r="CE180" s="52"/>
    </row>
    <row r="181" spans="1:83" s="56" customFormat="1" ht="36" customHeight="1" x14ac:dyDescent="0.25">
      <c r="A181" s="162">
        <v>59</v>
      </c>
      <c r="B181" s="57" t="s">
        <v>425</v>
      </c>
      <c r="C181" s="166">
        <f>SUM(C182:C183)</f>
        <v>4877863.9000000004</v>
      </c>
      <c r="D181" s="166">
        <f t="shared" ref="D181:G181" si="116">SUM(D182:D183)</f>
        <v>0</v>
      </c>
      <c r="E181" s="166">
        <f t="shared" si="116"/>
        <v>4574913.9000000004</v>
      </c>
      <c r="F181" s="166">
        <f t="shared" si="116"/>
        <v>302950</v>
      </c>
      <c r="G181" s="166">
        <f t="shared" si="116"/>
        <v>0</v>
      </c>
      <c r="H181" s="166">
        <f t="shared" ref="H181:J181" si="117">SUM(H182:H183)</f>
        <v>0</v>
      </c>
      <c r="I181" s="166">
        <f t="shared" si="117"/>
        <v>0</v>
      </c>
      <c r="J181" s="166">
        <f t="shared" si="117"/>
        <v>4877863.9000000004</v>
      </c>
      <c r="K181" s="53">
        <v>0</v>
      </c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  <c r="BB181" s="53"/>
      <c r="BC181" s="53"/>
      <c r="BD181" s="53"/>
      <c r="BE181" s="53"/>
      <c r="BF181" s="53"/>
      <c r="BG181" s="53"/>
      <c r="BH181" s="53"/>
      <c r="BI181" s="53"/>
      <c r="BJ181" s="53"/>
      <c r="BK181" s="53"/>
      <c r="BL181" s="53"/>
      <c r="BM181" s="53"/>
      <c r="BN181" s="53"/>
      <c r="BO181" s="53"/>
      <c r="BP181" s="53"/>
      <c r="BQ181" s="53"/>
      <c r="BR181" s="53"/>
      <c r="BS181" s="53"/>
      <c r="BT181" s="53"/>
      <c r="BU181" s="53"/>
      <c r="BV181" s="53"/>
      <c r="BW181" s="53"/>
      <c r="BX181" s="53"/>
      <c r="BY181" s="53"/>
      <c r="BZ181" s="53"/>
      <c r="CA181" s="53"/>
      <c r="CB181" s="53"/>
      <c r="CC181" s="53"/>
      <c r="CD181" s="53"/>
      <c r="CE181" s="53"/>
    </row>
    <row r="182" spans="1:83" s="54" customFormat="1" ht="15" customHeight="1" x14ac:dyDescent="0.25">
      <c r="A182" s="163" t="s">
        <v>208</v>
      </c>
      <c r="B182" s="55" t="s">
        <v>17</v>
      </c>
      <c r="C182" s="167">
        <f>SUM(D182:G182)</f>
        <v>2105094.9</v>
      </c>
      <c r="D182" s="167">
        <f>'[14]6.3.3.'!$H$1940</f>
        <v>0</v>
      </c>
      <c r="E182" s="167">
        <f>'[14]6.3.3.'!$I$1940</f>
        <v>1802144.9</v>
      </c>
      <c r="F182" s="167">
        <f>'[14]6.3.3.'!$J$1940</f>
        <v>302950</v>
      </c>
      <c r="G182" s="167">
        <v>0</v>
      </c>
      <c r="H182" s="167">
        <f>'[14]6.3.3.'!$L$1940</f>
        <v>0</v>
      </c>
      <c r="I182" s="167"/>
      <c r="J182" s="167">
        <f>'[14]6.3.3.'!$M$1940</f>
        <v>2105094.9</v>
      </c>
      <c r="K182" s="53">
        <v>0</v>
      </c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  <c r="AH182" s="52"/>
      <c r="AI182" s="52"/>
      <c r="AJ182" s="52"/>
      <c r="AK182" s="52"/>
      <c r="AL182" s="52"/>
      <c r="AM182" s="52"/>
      <c r="AN182" s="52"/>
      <c r="AO182" s="52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  <c r="BD182" s="52"/>
      <c r="BE182" s="52"/>
      <c r="BF182" s="52"/>
      <c r="BG182" s="52"/>
      <c r="BH182" s="52"/>
      <c r="BI182" s="52"/>
      <c r="BJ182" s="52"/>
      <c r="BK182" s="52"/>
      <c r="BL182" s="52"/>
      <c r="BM182" s="52"/>
      <c r="BN182" s="52"/>
      <c r="BO182" s="52"/>
      <c r="BP182" s="52"/>
      <c r="BQ182" s="52"/>
      <c r="BR182" s="52"/>
      <c r="BS182" s="52"/>
      <c r="BT182" s="52"/>
      <c r="BU182" s="52"/>
      <c r="BV182" s="52"/>
      <c r="BW182" s="52"/>
      <c r="BX182" s="52"/>
      <c r="BY182" s="52"/>
      <c r="BZ182" s="52"/>
      <c r="CA182" s="52"/>
      <c r="CB182" s="52"/>
      <c r="CC182" s="52"/>
      <c r="CD182" s="52"/>
      <c r="CE182" s="52"/>
    </row>
    <row r="183" spans="1:83" s="51" customFormat="1" ht="15" customHeight="1" x14ac:dyDescent="0.25">
      <c r="A183" s="163" t="s">
        <v>209</v>
      </c>
      <c r="B183" s="55" t="s">
        <v>19</v>
      </c>
      <c r="C183" s="167">
        <f>SUM(D183:G183)</f>
        <v>2772769</v>
      </c>
      <c r="D183" s="167">
        <f>'[14]6.3.3.'!$H$1950</f>
        <v>0</v>
      </c>
      <c r="E183" s="167">
        <f>'[14]6.3.3.'!$I$1950</f>
        <v>2772769</v>
      </c>
      <c r="F183" s="167">
        <f>'[14]6.3.3.'!$J$1950</f>
        <v>0</v>
      </c>
      <c r="G183" s="167">
        <v>0</v>
      </c>
      <c r="H183" s="167">
        <f>'[14]6.3.3.'!$L$1950</f>
        <v>0</v>
      </c>
      <c r="I183" s="167"/>
      <c r="J183" s="167">
        <f>'[14]6.3.3.'!$M$1950</f>
        <v>2772769</v>
      </c>
      <c r="K183" s="53">
        <v>0</v>
      </c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  <c r="AH183" s="52"/>
      <c r="AI183" s="52"/>
      <c r="AJ183" s="52"/>
      <c r="AK183" s="52"/>
      <c r="AL183" s="52"/>
      <c r="AM183" s="52"/>
      <c r="AN183" s="52"/>
      <c r="AO183" s="52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  <c r="BD183" s="52"/>
      <c r="BE183" s="52"/>
      <c r="BF183" s="52"/>
      <c r="BG183" s="52"/>
      <c r="BH183" s="52"/>
      <c r="BI183" s="52"/>
      <c r="BJ183" s="52"/>
      <c r="BK183" s="52"/>
      <c r="BL183" s="52"/>
      <c r="BM183" s="52"/>
      <c r="BN183" s="52"/>
      <c r="BO183" s="52"/>
      <c r="BP183" s="52"/>
      <c r="BQ183" s="52"/>
      <c r="BR183" s="52"/>
      <c r="BS183" s="52"/>
      <c r="BT183" s="52"/>
      <c r="BU183" s="52"/>
      <c r="BV183" s="52"/>
      <c r="BW183" s="52"/>
      <c r="BX183" s="52"/>
      <c r="BY183" s="52"/>
      <c r="BZ183" s="52"/>
      <c r="CA183" s="52"/>
      <c r="CB183" s="52"/>
      <c r="CC183" s="52"/>
      <c r="CD183" s="52"/>
      <c r="CE183" s="52"/>
    </row>
    <row r="184" spans="1:83" s="56" customFormat="1" ht="15" customHeight="1" x14ac:dyDescent="0.25">
      <c r="A184" s="162">
        <v>60</v>
      </c>
      <c r="B184" s="246" t="s">
        <v>426</v>
      </c>
      <c r="C184" s="247">
        <f>SUM(C185:C186)</f>
        <v>4643546</v>
      </c>
      <c r="D184" s="247">
        <f t="shared" ref="D184:G184" si="118">SUM(D185:D186)</f>
        <v>3486977</v>
      </c>
      <c r="E184" s="247">
        <f t="shared" si="118"/>
        <v>1156569</v>
      </c>
      <c r="F184" s="247">
        <f t="shared" si="118"/>
        <v>0</v>
      </c>
      <c r="G184" s="247">
        <f t="shared" si="118"/>
        <v>0</v>
      </c>
      <c r="H184" s="247">
        <f t="shared" ref="H184:J184" si="119">SUM(H185:H186)</f>
        <v>3486977</v>
      </c>
      <c r="I184" s="247">
        <f t="shared" si="119"/>
        <v>0</v>
      </c>
      <c r="J184" s="247">
        <f t="shared" si="119"/>
        <v>1156569</v>
      </c>
      <c r="K184" s="53">
        <v>0</v>
      </c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  <c r="BB184" s="53"/>
      <c r="BC184" s="53"/>
      <c r="BD184" s="53"/>
      <c r="BE184" s="53"/>
      <c r="BF184" s="53"/>
      <c r="BG184" s="53"/>
      <c r="BH184" s="53"/>
      <c r="BI184" s="53"/>
      <c r="BJ184" s="53"/>
      <c r="BK184" s="53"/>
      <c r="BL184" s="53"/>
      <c r="BM184" s="53"/>
      <c r="BN184" s="53"/>
      <c r="BO184" s="53"/>
      <c r="BP184" s="53"/>
      <c r="BQ184" s="53"/>
      <c r="BR184" s="53"/>
      <c r="BS184" s="53"/>
      <c r="BT184" s="53"/>
      <c r="BU184" s="53"/>
      <c r="BV184" s="53"/>
      <c r="BW184" s="53"/>
      <c r="BX184" s="53"/>
      <c r="BY184" s="53"/>
      <c r="BZ184" s="53"/>
      <c r="CA184" s="53"/>
      <c r="CB184" s="53"/>
      <c r="CC184" s="53"/>
      <c r="CD184" s="53"/>
      <c r="CE184" s="53"/>
    </row>
    <row r="185" spans="1:83" s="54" customFormat="1" ht="15" customHeight="1" x14ac:dyDescent="0.25">
      <c r="A185" s="163" t="s">
        <v>211</v>
      </c>
      <c r="B185" s="244" t="s">
        <v>17</v>
      </c>
      <c r="C185" s="245">
        <f>SUM(D185:G185)</f>
        <v>677639</v>
      </c>
      <c r="D185" s="245">
        <f>'[12]7.3.1'!$D$248</f>
        <v>677639</v>
      </c>
      <c r="E185" s="245">
        <f>'[12]7.3.1'!$E$248</f>
        <v>0</v>
      </c>
      <c r="F185" s="245">
        <v>0</v>
      </c>
      <c r="G185" s="245">
        <v>0</v>
      </c>
      <c r="H185" s="245">
        <f>'[12]7.3.1'!$H$248</f>
        <v>677639</v>
      </c>
      <c r="I185" s="245"/>
      <c r="J185" s="245">
        <f>'[12]7.3.1'!$I$248</f>
        <v>0</v>
      </c>
      <c r="K185" s="53">
        <v>0</v>
      </c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  <c r="AH185" s="52"/>
      <c r="AI185" s="52"/>
      <c r="AJ185" s="52"/>
      <c r="AK185" s="52"/>
      <c r="AL185" s="52"/>
      <c r="AM185" s="52"/>
      <c r="AN185" s="52"/>
      <c r="AO185" s="52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  <c r="BD185" s="52"/>
      <c r="BE185" s="52"/>
      <c r="BF185" s="52"/>
      <c r="BG185" s="52"/>
      <c r="BH185" s="52"/>
      <c r="BI185" s="52"/>
      <c r="BJ185" s="52"/>
      <c r="BK185" s="52"/>
      <c r="BL185" s="52"/>
      <c r="BM185" s="52"/>
      <c r="BN185" s="52"/>
      <c r="BO185" s="52"/>
      <c r="BP185" s="52"/>
      <c r="BQ185" s="52"/>
      <c r="BR185" s="52"/>
      <c r="BS185" s="52"/>
      <c r="BT185" s="52"/>
      <c r="BU185" s="52"/>
      <c r="BV185" s="52"/>
      <c r="BW185" s="52"/>
      <c r="BX185" s="52"/>
      <c r="BY185" s="52"/>
      <c r="BZ185" s="52"/>
      <c r="CA185" s="52"/>
      <c r="CB185" s="52"/>
      <c r="CC185" s="52"/>
      <c r="CD185" s="52"/>
      <c r="CE185" s="52"/>
    </row>
    <row r="186" spans="1:83" s="51" customFormat="1" ht="15" customHeight="1" x14ac:dyDescent="0.25">
      <c r="A186" s="163" t="s">
        <v>212</v>
      </c>
      <c r="B186" s="244" t="s">
        <v>19</v>
      </c>
      <c r="C186" s="245">
        <f>SUM(D186:G186)</f>
        <v>3965907</v>
      </c>
      <c r="D186" s="245">
        <f>'[12]7.3.1'!$D$249</f>
        <v>2809338</v>
      </c>
      <c r="E186" s="245">
        <f>'[12]7.3.1'!$E$249</f>
        <v>1156569</v>
      </c>
      <c r="F186" s="245">
        <v>0</v>
      </c>
      <c r="G186" s="245">
        <v>0</v>
      </c>
      <c r="H186" s="245">
        <f>'[12]7.3.1'!$H$249</f>
        <v>2809338</v>
      </c>
      <c r="I186" s="245"/>
      <c r="J186" s="245">
        <f>'[12]7.3.1'!$I$249</f>
        <v>1156569</v>
      </c>
      <c r="K186" s="53">
        <v>0</v>
      </c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  <c r="AH186" s="52"/>
      <c r="AI186" s="52"/>
      <c r="AJ186" s="52"/>
      <c r="AK186" s="52"/>
      <c r="AL186" s="52"/>
      <c r="AM186" s="52"/>
      <c r="AN186" s="52"/>
      <c r="AO186" s="52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  <c r="BD186" s="52"/>
      <c r="BE186" s="52"/>
      <c r="BF186" s="52"/>
      <c r="BG186" s="52"/>
      <c r="BH186" s="52"/>
      <c r="BI186" s="52"/>
      <c r="BJ186" s="52"/>
      <c r="BK186" s="52"/>
      <c r="BL186" s="52"/>
      <c r="BM186" s="52"/>
      <c r="BN186" s="52"/>
      <c r="BO186" s="52"/>
      <c r="BP186" s="52"/>
      <c r="BQ186" s="52"/>
      <c r="BR186" s="52"/>
      <c r="BS186" s="52"/>
      <c r="BT186" s="52"/>
      <c r="BU186" s="52"/>
      <c r="BV186" s="52"/>
      <c r="BW186" s="52"/>
      <c r="BX186" s="52"/>
      <c r="BY186" s="52"/>
      <c r="BZ186" s="52"/>
      <c r="CA186" s="52"/>
      <c r="CB186" s="52"/>
      <c r="CC186" s="52"/>
      <c r="CD186" s="52"/>
      <c r="CE186" s="52"/>
    </row>
    <row r="187" spans="1:83" s="56" customFormat="1" ht="34.5" customHeight="1" x14ac:dyDescent="0.25">
      <c r="A187" s="162">
        <v>61</v>
      </c>
      <c r="B187" s="57" t="s">
        <v>427</v>
      </c>
      <c r="C187" s="166">
        <f>SUM(C188:C189)</f>
        <v>8045233</v>
      </c>
      <c r="D187" s="166">
        <f t="shared" ref="D187:G187" si="120">SUM(D188:D189)</f>
        <v>7591864</v>
      </c>
      <c r="E187" s="166">
        <f t="shared" si="120"/>
        <v>0</v>
      </c>
      <c r="F187" s="166">
        <f t="shared" si="120"/>
        <v>453369</v>
      </c>
      <c r="G187" s="166">
        <f t="shared" si="120"/>
        <v>0</v>
      </c>
      <c r="H187" s="166">
        <f t="shared" ref="H187:J187" si="121">SUM(H188:H189)</f>
        <v>0</v>
      </c>
      <c r="I187" s="166">
        <f t="shared" si="121"/>
        <v>0</v>
      </c>
      <c r="J187" s="166">
        <f t="shared" si="121"/>
        <v>8045233</v>
      </c>
      <c r="K187" s="53">
        <v>0</v>
      </c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H187" s="53"/>
      <c r="BI187" s="53"/>
      <c r="BJ187" s="53"/>
      <c r="BK187" s="53"/>
      <c r="BL187" s="53"/>
      <c r="BM187" s="53"/>
      <c r="BN187" s="53"/>
      <c r="BO187" s="53"/>
      <c r="BP187" s="53"/>
      <c r="BQ187" s="53"/>
      <c r="BR187" s="53"/>
      <c r="BS187" s="53"/>
      <c r="BT187" s="53"/>
      <c r="BU187" s="53"/>
      <c r="BV187" s="53"/>
      <c r="BW187" s="53"/>
      <c r="BX187" s="53"/>
      <c r="BY187" s="53"/>
      <c r="BZ187" s="53"/>
      <c r="CA187" s="53"/>
      <c r="CB187" s="53"/>
      <c r="CC187" s="53"/>
      <c r="CD187" s="53"/>
      <c r="CE187" s="53"/>
    </row>
    <row r="188" spans="1:83" s="54" customFormat="1" ht="15" customHeight="1" x14ac:dyDescent="0.25">
      <c r="A188" s="163" t="s">
        <v>214</v>
      </c>
      <c r="B188" s="55" t="s">
        <v>17</v>
      </c>
      <c r="C188" s="167">
        <f>SUM(D188:G188)</f>
        <v>3989264</v>
      </c>
      <c r="D188" s="167">
        <f>'[14]6.3.3.'!$H$2000</f>
        <v>3535895</v>
      </c>
      <c r="E188" s="167">
        <f>'[14]6.3.3.'!$I$2000</f>
        <v>0</v>
      </c>
      <c r="F188" s="167">
        <f>'[14]6.3.3.'!$J$2000</f>
        <v>453369</v>
      </c>
      <c r="G188" s="167">
        <v>0</v>
      </c>
      <c r="H188" s="167">
        <f>'[14]6.3.3.'!$L$2000</f>
        <v>0</v>
      </c>
      <c r="I188" s="167"/>
      <c r="J188" s="167">
        <f>'[14]6.3.3.'!$M$2000</f>
        <v>3989264</v>
      </c>
      <c r="K188" s="53">
        <v>0</v>
      </c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  <c r="BD188" s="52"/>
      <c r="BE188" s="52"/>
      <c r="BF188" s="52"/>
      <c r="BG188" s="52"/>
      <c r="BH188" s="52"/>
      <c r="BI188" s="52"/>
      <c r="BJ188" s="52"/>
      <c r="BK188" s="52"/>
      <c r="BL188" s="52"/>
      <c r="BM188" s="52"/>
      <c r="BN188" s="52"/>
      <c r="BO188" s="52"/>
      <c r="BP188" s="52"/>
      <c r="BQ188" s="52"/>
      <c r="BR188" s="52"/>
      <c r="BS188" s="52"/>
      <c r="BT188" s="52"/>
      <c r="BU188" s="52"/>
      <c r="BV188" s="52"/>
      <c r="BW188" s="52"/>
      <c r="BX188" s="52"/>
      <c r="BY188" s="52"/>
      <c r="BZ188" s="52"/>
      <c r="CA188" s="52"/>
      <c r="CB188" s="52"/>
      <c r="CC188" s="52"/>
      <c r="CD188" s="52"/>
      <c r="CE188" s="52"/>
    </row>
    <row r="189" spans="1:83" s="54" customFormat="1" ht="15" customHeight="1" x14ac:dyDescent="0.25">
      <c r="A189" s="163" t="s">
        <v>215</v>
      </c>
      <c r="B189" s="55" t="s">
        <v>19</v>
      </c>
      <c r="C189" s="167">
        <f>SUM(D189:G189)</f>
        <v>4055969</v>
      </c>
      <c r="D189" s="167">
        <f>'[14]6.3.3.'!$H$2010</f>
        <v>4055969</v>
      </c>
      <c r="E189" s="167">
        <f>'[14]6.3.3.'!$I$2010</f>
        <v>0</v>
      </c>
      <c r="F189" s="167">
        <f>'[14]6.3.3.'!$J$2010</f>
        <v>0</v>
      </c>
      <c r="G189" s="167">
        <v>0</v>
      </c>
      <c r="H189" s="167">
        <f>'[14]6.3.3.'!$L$2010</f>
        <v>0</v>
      </c>
      <c r="I189" s="167"/>
      <c r="J189" s="167">
        <f>'[14]6.3.3.'!$M$2010</f>
        <v>4055969</v>
      </c>
      <c r="K189" s="53">
        <v>0</v>
      </c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2"/>
      <c r="AN189" s="52"/>
      <c r="AO189" s="52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  <c r="BD189" s="52"/>
      <c r="BE189" s="52"/>
      <c r="BF189" s="52"/>
      <c r="BG189" s="52"/>
      <c r="BH189" s="52"/>
      <c r="BI189" s="52"/>
      <c r="BJ189" s="52"/>
      <c r="BK189" s="52"/>
      <c r="BL189" s="52"/>
      <c r="BM189" s="52"/>
      <c r="BN189" s="52"/>
      <c r="BO189" s="52"/>
      <c r="BP189" s="52"/>
      <c r="BQ189" s="52"/>
      <c r="BR189" s="52"/>
      <c r="BS189" s="52"/>
      <c r="BT189" s="52"/>
      <c r="BU189" s="52"/>
      <c r="BV189" s="52"/>
      <c r="BW189" s="52"/>
      <c r="BX189" s="52"/>
      <c r="BY189" s="52"/>
      <c r="BZ189" s="52"/>
      <c r="CA189" s="52"/>
      <c r="CB189" s="52"/>
      <c r="CC189" s="52"/>
      <c r="CD189" s="52"/>
      <c r="CE189" s="52"/>
    </row>
    <row r="190" spans="1:83" s="56" customFormat="1" ht="34.5" customHeight="1" x14ac:dyDescent="0.25">
      <c r="A190" s="162">
        <v>62</v>
      </c>
      <c r="B190" s="57" t="s">
        <v>428</v>
      </c>
      <c r="C190" s="166">
        <f>SUM(C191:C192)</f>
        <v>6658803</v>
      </c>
      <c r="D190" s="166">
        <f t="shared" ref="D190:G190" si="122">SUM(D191:D192)</f>
        <v>38917</v>
      </c>
      <c r="E190" s="166">
        <f t="shared" si="122"/>
        <v>5935468</v>
      </c>
      <c r="F190" s="166">
        <f t="shared" si="122"/>
        <v>684418</v>
      </c>
      <c r="G190" s="166">
        <f t="shared" si="122"/>
        <v>0</v>
      </c>
      <c r="H190" s="166">
        <f t="shared" ref="H190:I190" si="123">SUM(H191:H192)</f>
        <v>0</v>
      </c>
      <c r="I190" s="166">
        <f t="shared" si="123"/>
        <v>0</v>
      </c>
      <c r="J190" s="166">
        <f>SUM(J191:J192)</f>
        <v>6658803</v>
      </c>
      <c r="K190" s="53">
        <v>1356400</v>
      </c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  <c r="BB190" s="53"/>
      <c r="BC190" s="53"/>
      <c r="BD190" s="53"/>
      <c r="BE190" s="53"/>
      <c r="BF190" s="53"/>
      <c r="BG190" s="53"/>
      <c r="BH190" s="53"/>
      <c r="BI190" s="53"/>
      <c r="BJ190" s="53"/>
      <c r="BK190" s="53"/>
      <c r="BL190" s="53"/>
      <c r="BM190" s="53"/>
      <c r="BN190" s="53"/>
      <c r="BO190" s="53"/>
      <c r="BP190" s="53"/>
      <c r="BQ190" s="53"/>
      <c r="BR190" s="53"/>
      <c r="BS190" s="53"/>
      <c r="BT190" s="53"/>
      <c r="BU190" s="53"/>
      <c r="BV190" s="53"/>
      <c r="BW190" s="53"/>
      <c r="BX190" s="53"/>
      <c r="BY190" s="53"/>
      <c r="BZ190" s="53"/>
      <c r="CA190" s="53"/>
      <c r="CB190" s="53"/>
      <c r="CC190" s="53"/>
      <c r="CD190" s="53"/>
      <c r="CE190" s="53"/>
    </row>
    <row r="191" spans="1:83" s="54" customFormat="1" ht="15" customHeight="1" x14ac:dyDescent="0.25">
      <c r="A191" s="163" t="s">
        <v>217</v>
      </c>
      <c r="B191" s="55" t="s">
        <v>17</v>
      </c>
      <c r="C191" s="167">
        <f>SUM(D191:G191)</f>
        <v>723335</v>
      </c>
      <c r="D191" s="167">
        <f>'[15]7.3.1'!$D$256</f>
        <v>38917</v>
      </c>
      <c r="E191" s="167">
        <f>'[14]6.3.3.'!$I$2030</f>
        <v>0</v>
      </c>
      <c r="F191" s="167">
        <f>'[15]7.3.1'!$F$256</f>
        <v>684418</v>
      </c>
      <c r="G191" s="167">
        <v>0</v>
      </c>
      <c r="H191" s="167">
        <f>'[14]6.3.3.'!$L$2030</f>
        <v>0</v>
      </c>
      <c r="I191" s="167"/>
      <c r="J191" s="167">
        <f>'[14]6.3.3.'!$M$2030</f>
        <v>723335</v>
      </c>
      <c r="K191" s="53">
        <v>1356400</v>
      </c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  <c r="BM191" s="52"/>
      <c r="BN191" s="52"/>
      <c r="BO191" s="52"/>
      <c r="BP191" s="52"/>
      <c r="BQ191" s="52"/>
      <c r="BR191" s="52"/>
      <c r="BS191" s="52"/>
      <c r="BT191" s="52"/>
      <c r="BU191" s="52"/>
      <c r="BV191" s="52"/>
      <c r="BW191" s="52"/>
      <c r="BX191" s="52"/>
      <c r="BY191" s="52"/>
      <c r="BZ191" s="52"/>
      <c r="CA191" s="52"/>
      <c r="CB191" s="52"/>
      <c r="CC191" s="52"/>
      <c r="CD191" s="52"/>
      <c r="CE191" s="52"/>
    </row>
    <row r="192" spans="1:83" s="54" customFormat="1" ht="15" customHeight="1" x14ac:dyDescent="0.25">
      <c r="A192" s="163" t="s">
        <v>218</v>
      </c>
      <c r="B192" s="55" t="s">
        <v>19</v>
      </c>
      <c r="C192" s="167">
        <f>SUM(D192:G192)</f>
        <v>5935468</v>
      </c>
      <c r="D192" s="167">
        <f>'[14]6.3.3.'!$H$2040</f>
        <v>0</v>
      </c>
      <c r="E192" s="167">
        <f>'[15]7.3.1'!$E$257</f>
        <v>5935468</v>
      </c>
      <c r="F192" s="167">
        <f>'[14]6.3.3.'!$J$2040</f>
        <v>0</v>
      </c>
      <c r="G192" s="167">
        <v>0</v>
      </c>
      <c r="H192" s="167">
        <f>'[14]6.3.3.'!$L$2040</f>
        <v>0</v>
      </c>
      <c r="I192" s="167"/>
      <c r="J192" s="167">
        <f>'[15]7.3.1'!$I$257</f>
        <v>5935468</v>
      </c>
      <c r="K192" s="53">
        <v>0</v>
      </c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52"/>
      <c r="BF192" s="52"/>
      <c r="BG192" s="52"/>
      <c r="BH192" s="52"/>
      <c r="BI192" s="52"/>
      <c r="BJ192" s="52"/>
      <c r="BK192" s="52"/>
      <c r="BL192" s="52"/>
      <c r="BM192" s="52"/>
      <c r="BN192" s="52"/>
      <c r="BO192" s="52"/>
      <c r="BP192" s="52"/>
      <c r="BQ192" s="52"/>
      <c r="BR192" s="52"/>
      <c r="BS192" s="52"/>
      <c r="BT192" s="52"/>
      <c r="BU192" s="52"/>
      <c r="BV192" s="52"/>
      <c r="BW192" s="52"/>
      <c r="BX192" s="52"/>
      <c r="BY192" s="52"/>
      <c r="BZ192" s="52"/>
      <c r="CA192" s="52"/>
      <c r="CB192" s="52"/>
      <c r="CC192" s="52"/>
      <c r="CD192" s="52"/>
      <c r="CE192" s="52"/>
    </row>
    <row r="193" spans="1:83" s="56" customFormat="1" ht="27.75" customHeight="1" x14ac:dyDescent="0.25">
      <c r="A193" s="162">
        <v>63</v>
      </c>
      <c r="B193" s="57" t="s">
        <v>429</v>
      </c>
      <c r="C193" s="166">
        <f>SUM(C194:C195)</f>
        <v>975415</v>
      </c>
      <c r="D193" s="166">
        <f t="shared" ref="D193:G193" si="124">SUM(D194:D195)</f>
        <v>38917</v>
      </c>
      <c r="E193" s="166">
        <f t="shared" si="124"/>
        <v>936498</v>
      </c>
      <c r="F193" s="166">
        <f t="shared" si="124"/>
        <v>0</v>
      </c>
      <c r="G193" s="166">
        <f t="shared" si="124"/>
        <v>0</v>
      </c>
      <c r="H193" s="166">
        <f t="shared" ref="H193:J193" si="125">SUM(H194:H195)</f>
        <v>0</v>
      </c>
      <c r="I193" s="166">
        <f t="shared" si="125"/>
        <v>0</v>
      </c>
      <c r="J193" s="166">
        <f t="shared" si="125"/>
        <v>975415</v>
      </c>
      <c r="K193" s="53">
        <v>0</v>
      </c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  <c r="BE193" s="53"/>
      <c r="BF193" s="53"/>
      <c r="BG193" s="53"/>
      <c r="BH193" s="53"/>
      <c r="BI193" s="53"/>
      <c r="BJ193" s="53"/>
      <c r="BK193" s="53"/>
      <c r="BL193" s="53"/>
      <c r="BM193" s="53"/>
      <c r="BN193" s="53"/>
      <c r="BO193" s="53"/>
      <c r="BP193" s="53"/>
      <c r="BQ193" s="53"/>
      <c r="BR193" s="53"/>
      <c r="BS193" s="53"/>
      <c r="BT193" s="53"/>
      <c r="BU193" s="53"/>
      <c r="BV193" s="53"/>
      <c r="BW193" s="53"/>
      <c r="BX193" s="53"/>
      <c r="BY193" s="53"/>
      <c r="BZ193" s="53"/>
      <c r="CA193" s="53"/>
      <c r="CB193" s="53"/>
      <c r="CC193" s="53"/>
      <c r="CD193" s="53"/>
      <c r="CE193" s="53"/>
    </row>
    <row r="194" spans="1:83" s="54" customFormat="1" ht="15" customHeight="1" x14ac:dyDescent="0.25">
      <c r="A194" s="163" t="s">
        <v>220</v>
      </c>
      <c r="B194" s="55" t="s">
        <v>17</v>
      </c>
      <c r="C194" s="167">
        <f>SUM(D194:G194)</f>
        <v>38917</v>
      </c>
      <c r="D194" s="167">
        <f>'[14]6.3.3.'!$H$2060</f>
        <v>38917</v>
      </c>
      <c r="E194" s="167">
        <f>'[14]6.3.3.'!$I$2060</f>
        <v>0</v>
      </c>
      <c r="F194" s="167">
        <v>0</v>
      </c>
      <c r="G194" s="167">
        <v>0</v>
      </c>
      <c r="H194" s="167">
        <f>'[14]6.3.3.'!$L$2060</f>
        <v>0</v>
      </c>
      <c r="I194" s="167"/>
      <c r="J194" s="167">
        <f>'[14]6.3.3.'!$M$2060</f>
        <v>38917</v>
      </c>
      <c r="K194" s="53">
        <v>0</v>
      </c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  <c r="BD194" s="52"/>
      <c r="BE194" s="52"/>
      <c r="BF194" s="52"/>
      <c r="BG194" s="52"/>
      <c r="BH194" s="52"/>
      <c r="BI194" s="52"/>
      <c r="BJ194" s="52"/>
      <c r="BK194" s="52"/>
      <c r="BL194" s="52"/>
      <c r="BM194" s="52"/>
      <c r="BN194" s="52"/>
      <c r="BO194" s="52"/>
      <c r="BP194" s="52"/>
      <c r="BQ194" s="52"/>
      <c r="BR194" s="52"/>
      <c r="BS194" s="52"/>
      <c r="BT194" s="52"/>
      <c r="BU194" s="52"/>
      <c r="BV194" s="52"/>
      <c r="BW194" s="52"/>
      <c r="BX194" s="52"/>
      <c r="BY194" s="52"/>
      <c r="BZ194" s="52"/>
      <c r="CA194" s="52"/>
      <c r="CB194" s="52"/>
      <c r="CC194" s="52"/>
      <c r="CD194" s="52"/>
      <c r="CE194" s="52"/>
    </row>
    <row r="195" spans="1:83" s="54" customFormat="1" ht="15" customHeight="1" x14ac:dyDescent="0.25">
      <c r="A195" s="163" t="s">
        <v>221</v>
      </c>
      <c r="B195" s="55" t="s">
        <v>19</v>
      </c>
      <c r="C195" s="167">
        <f>SUM(D195:G195)</f>
        <v>936498</v>
      </c>
      <c r="D195" s="167">
        <f>'[14]6.3.3.'!$H$2068</f>
        <v>0</v>
      </c>
      <c r="E195" s="167">
        <f>'[14]6.3.3.'!$I$2068</f>
        <v>936498</v>
      </c>
      <c r="F195" s="167">
        <v>0</v>
      </c>
      <c r="G195" s="167">
        <v>0</v>
      </c>
      <c r="H195" s="167">
        <f>'[14]6.3.3.'!$L$2068</f>
        <v>0</v>
      </c>
      <c r="I195" s="167"/>
      <c r="J195" s="167">
        <f>'[14]6.3.3.'!$M$2068</f>
        <v>936498</v>
      </c>
      <c r="K195" s="53">
        <v>0</v>
      </c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  <c r="BD195" s="52"/>
      <c r="BE195" s="52"/>
      <c r="BF195" s="52"/>
      <c r="BG195" s="52"/>
      <c r="BH195" s="52"/>
      <c r="BI195" s="52"/>
      <c r="BJ195" s="52"/>
      <c r="BK195" s="52"/>
      <c r="BL195" s="52"/>
      <c r="BM195" s="52"/>
      <c r="BN195" s="52"/>
      <c r="BO195" s="52"/>
      <c r="BP195" s="52"/>
      <c r="BQ195" s="52"/>
      <c r="BR195" s="52"/>
      <c r="BS195" s="52"/>
      <c r="BT195" s="52"/>
      <c r="BU195" s="52"/>
      <c r="BV195" s="52"/>
      <c r="BW195" s="52"/>
      <c r="BX195" s="52"/>
      <c r="BY195" s="52"/>
      <c r="BZ195" s="52"/>
      <c r="CA195" s="52"/>
      <c r="CB195" s="52"/>
      <c r="CC195" s="52"/>
      <c r="CD195" s="52"/>
      <c r="CE195" s="52"/>
    </row>
    <row r="196" spans="1:83" s="56" customFormat="1" ht="31.5" customHeight="1" x14ac:dyDescent="0.25">
      <c r="A196" s="162">
        <v>64</v>
      </c>
      <c r="B196" s="57" t="s">
        <v>430</v>
      </c>
      <c r="C196" s="166">
        <f>SUM(C197:C198)</f>
        <v>7070382</v>
      </c>
      <c r="D196" s="166">
        <f t="shared" ref="D196:G196" si="126">SUM(D197:D198)</f>
        <v>5032082</v>
      </c>
      <c r="E196" s="166">
        <f t="shared" si="126"/>
        <v>2038300</v>
      </c>
      <c r="F196" s="166">
        <f t="shared" si="126"/>
        <v>0</v>
      </c>
      <c r="G196" s="166">
        <f t="shared" si="126"/>
        <v>0</v>
      </c>
      <c r="H196" s="166">
        <f t="shared" ref="H196:J196" si="127">SUM(H197:H198)</f>
        <v>0</v>
      </c>
      <c r="I196" s="166">
        <f t="shared" si="127"/>
        <v>0</v>
      </c>
      <c r="J196" s="166">
        <f t="shared" si="127"/>
        <v>7070382</v>
      </c>
      <c r="K196" s="53">
        <v>0</v>
      </c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  <c r="BA196" s="53"/>
      <c r="BB196" s="53"/>
      <c r="BC196" s="53"/>
      <c r="BD196" s="53"/>
      <c r="BE196" s="53"/>
      <c r="BF196" s="53"/>
      <c r="BG196" s="53"/>
      <c r="BH196" s="53"/>
      <c r="BI196" s="53"/>
      <c r="BJ196" s="53"/>
      <c r="BK196" s="53"/>
      <c r="BL196" s="53"/>
      <c r="BM196" s="53"/>
      <c r="BN196" s="53"/>
      <c r="BO196" s="53"/>
      <c r="BP196" s="53"/>
      <c r="BQ196" s="53"/>
      <c r="BR196" s="53"/>
      <c r="BS196" s="53"/>
      <c r="BT196" s="53"/>
      <c r="BU196" s="53"/>
      <c r="BV196" s="53"/>
      <c r="BW196" s="53"/>
      <c r="BX196" s="53"/>
      <c r="BY196" s="53"/>
      <c r="BZ196" s="53"/>
      <c r="CA196" s="53"/>
      <c r="CB196" s="53"/>
      <c r="CC196" s="53"/>
      <c r="CD196" s="53"/>
      <c r="CE196" s="53"/>
    </row>
    <row r="197" spans="1:83" s="54" customFormat="1" ht="15" customHeight="1" x14ac:dyDescent="0.25">
      <c r="A197" s="163" t="s">
        <v>223</v>
      </c>
      <c r="B197" s="55" t="s">
        <v>17</v>
      </c>
      <c r="C197" s="167">
        <f>SUM(D197:G197)</f>
        <v>2865044</v>
      </c>
      <c r="D197" s="167">
        <f>'[14]6.3.3.'!$H$2087</f>
        <v>2865044</v>
      </c>
      <c r="E197" s="167">
        <f>'[14]6.3.3.'!$I$2087</f>
        <v>0</v>
      </c>
      <c r="F197" s="167">
        <v>0</v>
      </c>
      <c r="G197" s="167">
        <v>0</v>
      </c>
      <c r="H197" s="167">
        <f>'[14]6.3.3.'!$L$2087</f>
        <v>0</v>
      </c>
      <c r="I197" s="167"/>
      <c r="J197" s="167">
        <f>'[14]6.3.3.'!$M$2087</f>
        <v>2865044</v>
      </c>
      <c r="K197" s="53">
        <v>0</v>
      </c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  <c r="BD197" s="52"/>
      <c r="BE197" s="52"/>
      <c r="BF197" s="52"/>
      <c r="BG197" s="52"/>
      <c r="BH197" s="52"/>
      <c r="BI197" s="52"/>
      <c r="BJ197" s="52"/>
      <c r="BK197" s="52"/>
      <c r="BL197" s="52"/>
      <c r="BM197" s="52"/>
      <c r="BN197" s="52"/>
      <c r="BO197" s="52"/>
      <c r="BP197" s="52"/>
      <c r="BQ197" s="52"/>
      <c r="BR197" s="52"/>
      <c r="BS197" s="52"/>
      <c r="BT197" s="52"/>
      <c r="BU197" s="52"/>
      <c r="BV197" s="52"/>
      <c r="BW197" s="52"/>
      <c r="BX197" s="52"/>
      <c r="BY197" s="52"/>
      <c r="BZ197" s="52"/>
      <c r="CA197" s="52"/>
      <c r="CB197" s="52"/>
      <c r="CC197" s="52"/>
      <c r="CD197" s="52"/>
      <c r="CE197" s="52"/>
    </row>
    <row r="198" spans="1:83" s="54" customFormat="1" ht="15" customHeight="1" x14ac:dyDescent="0.25">
      <c r="A198" s="163" t="s">
        <v>224</v>
      </c>
      <c r="B198" s="55" t="s">
        <v>19</v>
      </c>
      <c r="C198" s="167">
        <f>SUM(D198:G198)</f>
        <v>4205338</v>
      </c>
      <c r="D198" s="167">
        <f>'[14]6.3.3.'!$H$2100</f>
        <v>2167038</v>
      </c>
      <c r="E198" s="167">
        <f>'[14]6.3.3.'!$I$2100</f>
        <v>2038300</v>
      </c>
      <c r="F198" s="167">
        <v>0</v>
      </c>
      <c r="G198" s="167">
        <v>0</v>
      </c>
      <c r="H198" s="167">
        <f>'[14]6.3.3.'!$L$2100</f>
        <v>0</v>
      </c>
      <c r="I198" s="167"/>
      <c r="J198" s="167">
        <f>'[14]6.3.3.'!$M$2100</f>
        <v>4205338</v>
      </c>
      <c r="K198" s="53">
        <v>0</v>
      </c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  <c r="BD198" s="52"/>
      <c r="BE198" s="52"/>
      <c r="BF198" s="52"/>
      <c r="BG198" s="52"/>
      <c r="BH198" s="52"/>
      <c r="BI198" s="52"/>
      <c r="BJ198" s="52"/>
      <c r="BK198" s="52"/>
      <c r="BL198" s="52"/>
      <c r="BM198" s="52"/>
      <c r="BN198" s="52"/>
      <c r="BO198" s="52"/>
      <c r="BP198" s="52"/>
      <c r="BQ198" s="52"/>
      <c r="BR198" s="52"/>
      <c r="BS198" s="52"/>
      <c r="BT198" s="52"/>
      <c r="BU198" s="52"/>
      <c r="BV198" s="52"/>
      <c r="BW198" s="52"/>
      <c r="BX198" s="52"/>
      <c r="BY198" s="52"/>
      <c r="BZ198" s="52"/>
      <c r="CA198" s="52"/>
      <c r="CB198" s="52"/>
      <c r="CC198" s="52"/>
      <c r="CD198" s="52"/>
      <c r="CE198" s="52"/>
    </row>
    <row r="199" spans="1:83" s="56" customFormat="1" ht="47.25" customHeight="1" x14ac:dyDescent="0.25">
      <c r="A199" s="162">
        <v>65</v>
      </c>
      <c r="B199" s="57" t="s">
        <v>431</v>
      </c>
      <c r="C199" s="166">
        <f>SUM(C200:C201)</f>
        <v>11917041</v>
      </c>
      <c r="D199" s="166">
        <f t="shared" ref="D199:G199" si="128">SUM(D200:D201)</f>
        <v>0</v>
      </c>
      <c r="E199" s="166">
        <f t="shared" si="128"/>
        <v>9163102</v>
      </c>
      <c r="F199" s="166">
        <f t="shared" si="128"/>
        <v>2753939</v>
      </c>
      <c r="G199" s="166">
        <f t="shared" si="128"/>
        <v>0</v>
      </c>
      <c r="H199" s="166">
        <f t="shared" ref="H199:J199" si="129">SUM(H200:H201)</f>
        <v>0</v>
      </c>
      <c r="I199" s="166">
        <f t="shared" si="129"/>
        <v>0</v>
      </c>
      <c r="J199" s="166">
        <f t="shared" si="129"/>
        <v>11917041</v>
      </c>
      <c r="K199" s="53">
        <v>466402</v>
      </c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  <c r="BB199" s="53"/>
      <c r="BC199" s="53"/>
      <c r="BD199" s="53"/>
      <c r="BE199" s="53"/>
      <c r="BF199" s="53"/>
      <c r="BG199" s="53"/>
      <c r="BH199" s="53"/>
      <c r="BI199" s="53"/>
      <c r="BJ199" s="53"/>
      <c r="BK199" s="53"/>
      <c r="BL199" s="53"/>
      <c r="BM199" s="53"/>
      <c r="BN199" s="53"/>
      <c r="BO199" s="53"/>
      <c r="BP199" s="53"/>
      <c r="BQ199" s="53"/>
      <c r="BR199" s="53"/>
      <c r="BS199" s="53"/>
      <c r="BT199" s="53"/>
      <c r="BU199" s="53"/>
      <c r="BV199" s="53"/>
      <c r="BW199" s="53"/>
      <c r="BX199" s="53"/>
      <c r="BY199" s="53"/>
      <c r="BZ199" s="53"/>
      <c r="CA199" s="53"/>
      <c r="CB199" s="53"/>
      <c r="CC199" s="53"/>
      <c r="CD199" s="53"/>
      <c r="CE199" s="53"/>
    </row>
    <row r="200" spans="1:83" s="54" customFormat="1" ht="15" customHeight="1" x14ac:dyDescent="0.25">
      <c r="A200" s="163" t="s">
        <v>226</v>
      </c>
      <c r="B200" s="55" t="s">
        <v>17</v>
      </c>
      <c r="C200" s="167">
        <f>SUM(D200:G200)</f>
        <v>6436974</v>
      </c>
      <c r="D200" s="167">
        <f>'[14]6.3.3.'!$H$2125</f>
        <v>0</v>
      </c>
      <c r="E200" s="167">
        <f>'[14]6.3.3.'!$I$2125</f>
        <v>3683035</v>
      </c>
      <c r="F200" s="167">
        <f>'[14]6.3.3.'!$J$2125</f>
        <v>2753939</v>
      </c>
      <c r="G200" s="167">
        <v>0</v>
      </c>
      <c r="H200" s="167">
        <f>'[14]6.3.3.'!$L$2125</f>
        <v>0</v>
      </c>
      <c r="I200" s="167"/>
      <c r="J200" s="167">
        <f>'[14]6.3.3.'!$M$2125</f>
        <v>6436974</v>
      </c>
      <c r="K200" s="53">
        <v>466402</v>
      </c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  <c r="BD200" s="52"/>
      <c r="BE200" s="52"/>
      <c r="BF200" s="52"/>
      <c r="BG200" s="52"/>
      <c r="BH200" s="52"/>
      <c r="BI200" s="52"/>
      <c r="BJ200" s="52"/>
      <c r="BK200" s="52"/>
      <c r="BL200" s="52"/>
      <c r="BM200" s="52"/>
      <c r="BN200" s="52"/>
      <c r="BO200" s="52"/>
      <c r="BP200" s="52"/>
      <c r="BQ200" s="52"/>
      <c r="BR200" s="52"/>
      <c r="BS200" s="52"/>
      <c r="BT200" s="52"/>
      <c r="BU200" s="52"/>
      <c r="BV200" s="52"/>
      <c r="BW200" s="52"/>
      <c r="BX200" s="52"/>
      <c r="BY200" s="52"/>
      <c r="BZ200" s="52"/>
      <c r="CA200" s="52"/>
      <c r="CB200" s="52"/>
      <c r="CC200" s="52"/>
      <c r="CD200" s="52"/>
      <c r="CE200" s="52"/>
    </row>
    <row r="201" spans="1:83" s="54" customFormat="1" ht="15" customHeight="1" x14ac:dyDescent="0.25">
      <c r="A201" s="163" t="s">
        <v>227</v>
      </c>
      <c r="B201" s="55" t="s">
        <v>19</v>
      </c>
      <c r="C201" s="167">
        <f>SUM(D201:G201)</f>
        <v>5480067</v>
      </c>
      <c r="D201" s="167">
        <f>'[14]6.3.3.'!$H$2147</f>
        <v>0</v>
      </c>
      <c r="E201" s="167">
        <f>'[14]6.3.3.'!$I$2147</f>
        <v>5480067</v>
      </c>
      <c r="F201" s="167">
        <f>'[14]6.3.3.'!$J$2147</f>
        <v>0</v>
      </c>
      <c r="G201" s="167">
        <v>0</v>
      </c>
      <c r="H201" s="167">
        <f>'[14]6.3.3.'!$L$2147</f>
        <v>0</v>
      </c>
      <c r="I201" s="167"/>
      <c r="J201" s="167">
        <f>'[14]6.3.3.'!$M$2147</f>
        <v>5480067</v>
      </c>
      <c r="K201" s="53">
        <v>0</v>
      </c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  <c r="BF201" s="52"/>
      <c r="BG201" s="52"/>
      <c r="BH201" s="52"/>
      <c r="BI201" s="52"/>
      <c r="BJ201" s="52"/>
      <c r="BK201" s="52"/>
      <c r="BL201" s="52"/>
      <c r="BM201" s="52"/>
      <c r="BN201" s="52"/>
      <c r="BO201" s="52"/>
      <c r="BP201" s="52"/>
      <c r="BQ201" s="52"/>
      <c r="BR201" s="52"/>
      <c r="BS201" s="52"/>
      <c r="BT201" s="52"/>
      <c r="BU201" s="52"/>
      <c r="BV201" s="52"/>
      <c r="BW201" s="52"/>
      <c r="BX201" s="52"/>
      <c r="BY201" s="52"/>
      <c r="BZ201" s="52"/>
      <c r="CA201" s="52"/>
      <c r="CB201" s="52"/>
      <c r="CC201" s="52"/>
      <c r="CD201" s="52"/>
      <c r="CE201" s="52"/>
    </row>
    <row r="202" spans="1:83" s="56" customFormat="1" ht="36.75" customHeight="1" x14ac:dyDescent="0.25">
      <c r="A202" s="162">
        <v>66</v>
      </c>
      <c r="B202" s="246" t="s">
        <v>432</v>
      </c>
      <c r="C202" s="247">
        <f>SUM(C203:C204)</f>
        <v>15631833</v>
      </c>
      <c r="D202" s="247">
        <f t="shared" ref="D202:G202" si="130">SUM(D203:D204)</f>
        <v>10643519</v>
      </c>
      <c r="E202" s="247">
        <f t="shared" si="130"/>
        <v>4988314</v>
      </c>
      <c r="F202" s="247">
        <f t="shared" si="130"/>
        <v>0</v>
      </c>
      <c r="G202" s="247">
        <f t="shared" si="130"/>
        <v>0</v>
      </c>
      <c r="H202" s="247">
        <f t="shared" ref="H202:J202" si="131">SUM(H203:H204)</f>
        <v>7088603</v>
      </c>
      <c r="I202" s="247">
        <f t="shared" si="131"/>
        <v>0</v>
      </c>
      <c r="J202" s="247">
        <f t="shared" si="131"/>
        <v>8543230</v>
      </c>
      <c r="K202" s="53">
        <v>0</v>
      </c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  <c r="BB202" s="53"/>
      <c r="BC202" s="53"/>
      <c r="BD202" s="53"/>
      <c r="BE202" s="53"/>
      <c r="BF202" s="53"/>
      <c r="BG202" s="53"/>
      <c r="BH202" s="53"/>
      <c r="BI202" s="53"/>
      <c r="BJ202" s="53"/>
      <c r="BK202" s="53"/>
      <c r="BL202" s="53"/>
      <c r="BM202" s="53"/>
      <c r="BN202" s="53"/>
      <c r="BO202" s="53"/>
      <c r="BP202" s="53"/>
      <c r="BQ202" s="53"/>
      <c r="BR202" s="53"/>
      <c r="BS202" s="53"/>
      <c r="BT202" s="53"/>
      <c r="BU202" s="53"/>
      <c r="BV202" s="53"/>
      <c r="BW202" s="53"/>
      <c r="BX202" s="53"/>
      <c r="BY202" s="53"/>
      <c r="BZ202" s="53"/>
      <c r="CA202" s="53"/>
      <c r="CB202" s="53"/>
      <c r="CC202" s="53"/>
      <c r="CD202" s="53"/>
      <c r="CE202" s="53"/>
    </row>
    <row r="203" spans="1:83" s="54" customFormat="1" ht="15" customHeight="1" x14ac:dyDescent="0.25">
      <c r="A203" s="163" t="s">
        <v>229</v>
      </c>
      <c r="B203" s="244" t="s">
        <v>17</v>
      </c>
      <c r="C203" s="245">
        <f>SUM(D203:G203)</f>
        <v>5968881</v>
      </c>
      <c r="D203" s="245">
        <f>'[12]7.3.1'!$D$272</f>
        <v>5968881</v>
      </c>
      <c r="E203" s="245">
        <f>'[12]7.3.1'!$E$272</f>
        <v>0</v>
      </c>
      <c r="F203" s="245">
        <v>0</v>
      </c>
      <c r="G203" s="245">
        <v>0</v>
      </c>
      <c r="H203" s="245">
        <f>'[12]7.3.1'!$H$272</f>
        <v>4039143</v>
      </c>
      <c r="I203" s="245"/>
      <c r="J203" s="245">
        <f>'[12]7.3.1'!$I$272</f>
        <v>1929738</v>
      </c>
      <c r="K203" s="53">
        <v>0</v>
      </c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  <c r="BF203" s="52"/>
      <c r="BG203" s="52"/>
      <c r="BH203" s="52"/>
      <c r="BI203" s="52"/>
      <c r="BJ203" s="52"/>
      <c r="BK203" s="52"/>
      <c r="BL203" s="52"/>
      <c r="BM203" s="52"/>
      <c r="BN203" s="52"/>
      <c r="BO203" s="52"/>
      <c r="BP203" s="52"/>
      <c r="BQ203" s="52"/>
      <c r="BR203" s="52"/>
      <c r="BS203" s="52"/>
      <c r="BT203" s="52"/>
      <c r="BU203" s="52"/>
      <c r="BV203" s="52"/>
      <c r="BW203" s="52"/>
      <c r="BX203" s="52"/>
      <c r="BY203" s="52"/>
      <c r="BZ203" s="52"/>
      <c r="CA203" s="52"/>
      <c r="CB203" s="52"/>
      <c r="CC203" s="52"/>
      <c r="CD203" s="52"/>
      <c r="CE203" s="52"/>
    </row>
    <row r="204" spans="1:83" s="54" customFormat="1" ht="15" customHeight="1" x14ac:dyDescent="0.25">
      <c r="A204" s="163" t="s">
        <v>230</v>
      </c>
      <c r="B204" s="244" t="s">
        <v>19</v>
      </c>
      <c r="C204" s="245">
        <f>SUM(D204:G204)</f>
        <v>9662952</v>
      </c>
      <c r="D204" s="245">
        <f>'[12]7.3.1'!$D$273</f>
        <v>4674638</v>
      </c>
      <c r="E204" s="245">
        <f>'[12]7.3.1'!$E$273</f>
        <v>4988314</v>
      </c>
      <c r="F204" s="245">
        <v>0</v>
      </c>
      <c r="G204" s="245">
        <v>0</v>
      </c>
      <c r="H204" s="245">
        <f>'[12]7.3.1'!$H$273</f>
        <v>3049460</v>
      </c>
      <c r="I204" s="245"/>
      <c r="J204" s="245">
        <f>'[12]7.3.1'!$I$273</f>
        <v>6613492</v>
      </c>
      <c r="K204" s="53">
        <v>0</v>
      </c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  <c r="BD204" s="52"/>
      <c r="BE204" s="52"/>
      <c r="BF204" s="52"/>
      <c r="BG204" s="52"/>
      <c r="BH204" s="52"/>
      <c r="BI204" s="52"/>
      <c r="BJ204" s="52"/>
      <c r="BK204" s="52"/>
      <c r="BL204" s="52"/>
      <c r="BM204" s="52"/>
      <c r="BN204" s="52"/>
      <c r="BO204" s="52"/>
      <c r="BP204" s="52"/>
      <c r="BQ204" s="52"/>
      <c r="BR204" s="52"/>
      <c r="BS204" s="52"/>
      <c r="BT204" s="52"/>
      <c r="BU204" s="52"/>
      <c r="BV204" s="52"/>
      <c r="BW204" s="52"/>
      <c r="BX204" s="52"/>
      <c r="BY204" s="52"/>
      <c r="BZ204" s="52"/>
      <c r="CA204" s="52"/>
      <c r="CB204" s="52"/>
      <c r="CC204" s="52"/>
      <c r="CD204" s="52"/>
      <c r="CE204" s="52"/>
    </row>
    <row r="205" spans="1:83" s="56" customFormat="1" ht="53.25" customHeight="1" x14ac:dyDescent="0.25">
      <c r="A205" s="162">
        <v>67</v>
      </c>
      <c r="B205" s="57" t="s">
        <v>433</v>
      </c>
      <c r="C205" s="166">
        <f>SUM(C206:C207)</f>
        <v>7253279</v>
      </c>
      <c r="D205" s="166">
        <f t="shared" ref="D205:G205" si="132">SUM(D206:D207)</f>
        <v>0</v>
      </c>
      <c r="E205" s="166">
        <f t="shared" si="132"/>
        <v>6210941</v>
      </c>
      <c r="F205" s="166">
        <f t="shared" si="132"/>
        <v>1042338</v>
      </c>
      <c r="G205" s="166">
        <f t="shared" si="132"/>
        <v>0</v>
      </c>
      <c r="H205" s="166">
        <f t="shared" ref="H205:J205" si="133">SUM(H206:H207)</f>
        <v>0</v>
      </c>
      <c r="I205" s="166">
        <f t="shared" si="133"/>
        <v>0</v>
      </c>
      <c r="J205" s="166">
        <f t="shared" si="133"/>
        <v>7253279</v>
      </c>
      <c r="K205" s="53">
        <v>0</v>
      </c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</row>
    <row r="206" spans="1:83" s="54" customFormat="1" ht="15" customHeight="1" x14ac:dyDescent="0.25">
      <c r="A206" s="163" t="s">
        <v>232</v>
      </c>
      <c r="B206" s="55" t="s">
        <v>17</v>
      </c>
      <c r="C206" s="167">
        <f>SUM(D206:G206)</f>
        <v>3603210</v>
      </c>
      <c r="D206" s="167">
        <f>'[14]6.3.3.'!$H$2226</f>
        <v>0</v>
      </c>
      <c r="E206" s="167">
        <f>'[14]6.3.3.'!$I$2226</f>
        <v>2560872</v>
      </c>
      <c r="F206" s="167">
        <f>'[14]6.3.3.'!$J$2226</f>
        <v>1042338</v>
      </c>
      <c r="G206" s="167">
        <v>0</v>
      </c>
      <c r="H206" s="167">
        <f>'[14]6.3.3.'!$L$2226</f>
        <v>0</v>
      </c>
      <c r="I206" s="167"/>
      <c r="J206" s="167">
        <f>'[14]6.3.3.'!$M$2226</f>
        <v>3603210</v>
      </c>
      <c r="K206" s="53">
        <v>0</v>
      </c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</row>
    <row r="207" spans="1:83" s="51" customFormat="1" ht="15" customHeight="1" x14ac:dyDescent="0.25">
      <c r="A207" s="163" t="s">
        <v>233</v>
      </c>
      <c r="B207" s="55" t="s">
        <v>19</v>
      </c>
      <c r="C207" s="167">
        <f>SUM(D207:G207)</f>
        <v>3650069</v>
      </c>
      <c r="D207" s="167">
        <f>'[14]6.3.3.'!$H$2241</f>
        <v>0</v>
      </c>
      <c r="E207" s="167">
        <f>'[14]6.3.3.'!$I$2241</f>
        <v>3650069</v>
      </c>
      <c r="F207" s="167">
        <f>'[14]6.3.3.'!$J$2241</f>
        <v>0</v>
      </c>
      <c r="G207" s="167">
        <v>0</v>
      </c>
      <c r="H207" s="167">
        <f>'[14]6.3.3.'!$L$2241</f>
        <v>0</v>
      </c>
      <c r="I207" s="167"/>
      <c r="J207" s="167">
        <f>'[14]6.3.3.'!$M$2241</f>
        <v>3650069</v>
      </c>
      <c r="K207" s="53">
        <v>0</v>
      </c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</row>
    <row r="208" spans="1:83" s="51" customFormat="1" ht="57" customHeight="1" x14ac:dyDescent="0.25">
      <c r="A208" s="164" t="s">
        <v>234</v>
      </c>
      <c r="B208" s="57" t="s">
        <v>434</v>
      </c>
      <c r="C208" s="166">
        <f>SUM(C209:C210)</f>
        <v>9346935</v>
      </c>
      <c r="D208" s="166">
        <f t="shared" ref="D208:G208" si="134">SUM(D209:D210)</f>
        <v>893569</v>
      </c>
      <c r="E208" s="166">
        <f t="shared" si="134"/>
        <v>5722114</v>
      </c>
      <c r="F208" s="166">
        <f t="shared" si="134"/>
        <v>2731252</v>
      </c>
      <c r="G208" s="166">
        <f t="shared" si="134"/>
        <v>0</v>
      </c>
      <c r="H208" s="166">
        <f t="shared" ref="H208:J208" si="135">SUM(H209:H210)</f>
        <v>893569</v>
      </c>
      <c r="I208" s="166">
        <f t="shared" si="135"/>
        <v>0</v>
      </c>
      <c r="J208" s="166">
        <f t="shared" si="135"/>
        <v>8453366</v>
      </c>
      <c r="K208" s="53">
        <v>0</v>
      </c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</row>
    <row r="209" spans="1:39" s="51" customFormat="1" ht="15" customHeight="1" x14ac:dyDescent="0.25">
      <c r="A209" s="163" t="s">
        <v>236</v>
      </c>
      <c r="B209" s="55" t="s">
        <v>17</v>
      </c>
      <c r="C209" s="167">
        <f>SUM(D209:G209)</f>
        <v>5708728</v>
      </c>
      <c r="D209" s="167">
        <f>'[14]6.3.3.'!$H$2265</f>
        <v>282000</v>
      </c>
      <c r="E209" s="167">
        <f>'[14]6.3.3.'!$I$2265</f>
        <v>2695476</v>
      </c>
      <c r="F209" s="167">
        <f>'[14]6.3.3.'!$J$2265</f>
        <v>2731252</v>
      </c>
      <c r="G209" s="167">
        <v>0</v>
      </c>
      <c r="H209" s="167">
        <f>'[14]6.3.3.'!$L$2265</f>
        <v>282000</v>
      </c>
      <c r="I209" s="167"/>
      <c r="J209" s="167">
        <f>'[14]6.3.3.'!$M$2265</f>
        <v>5426728</v>
      </c>
      <c r="K209" s="53">
        <v>0</v>
      </c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</row>
    <row r="210" spans="1:39" s="58" customFormat="1" ht="15" customHeight="1" x14ac:dyDescent="0.25">
      <c r="A210" s="163" t="s">
        <v>237</v>
      </c>
      <c r="B210" s="55" t="s">
        <v>19</v>
      </c>
      <c r="C210" s="167">
        <f>SUM(D210:G210)</f>
        <v>3638207</v>
      </c>
      <c r="D210" s="167">
        <f>'[14]6.3.3.'!$H$2287</f>
        <v>611569</v>
      </c>
      <c r="E210" s="167">
        <f>'[14]6.3.3.'!$I$2287</f>
        <v>3026638</v>
      </c>
      <c r="F210" s="167">
        <f>'[14]6.3.3.'!$J$2287</f>
        <v>0</v>
      </c>
      <c r="G210" s="167">
        <v>0</v>
      </c>
      <c r="H210" s="167">
        <f>'[14]6.3.3.'!$L$2287</f>
        <v>611569</v>
      </c>
      <c r="I210" s="167"/>
      <c r="J210" s="167">
        <f>'[14]6.3.3.'!$M$2287</f>
        <v>3026638</v>
      </c>
      <c r="K210" s="53">
        <v>0</v>
      </c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</row>
    <row r="211" spans="1:39" s="56" customFormat="1" ht="38.25" customHeight="1" x14ac:dyDescent="0.25">
      <c r="A211" s="162">
        <v>69</v>
      </c>
      <c r="B211" s="246" t="s">
        <v>435</v>
      </c>
      <c r="C211" s="247">
        <f>SUM(C212:C213)</f>
        <v>6959254.7999999998</v>
      </c>
      <c r="D211" s="247">
        <f t="shared" ref="D211:G211" si="136">SUM(D212:D213)</f>
        <v>5227004.8</v>
      </c>
      <c r="E211" s="247">
        <f t="shared" si="136"/>
        <v>1438800</v>
      </c>
      <c r="F211" s="247">
        <f t="shared" si="136"/>
        <v>293450</v>
      </c>
      <c r="G211" s="247">
        <f t="shared" si="136"/>
        <v>0</v>
      </c>
      <c r="H211" s="247">
        <f t="shared" ref="H211:J211" si="137">SUM(H212:H213)</f>
        <v>5227004.8</v>
      </c>
      <c r="I211" s="247">
        <f t="shared" si="137"/>
        <v>0</v>
      </c>
      <c r="J211" s="247">
        <f t="shared" si="137"/>
        <v>1732250</v>
      </c>
      <c r="K211" s="53">
        <v>4931400</v>
      </c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</row>
    <row r="212" spans="1:39" s="54" customFormat="1" ht="15" customHeight="1" x14ac:dyDescent="0.25">
      <c r="A212" s="163" t="s">
        <v>239</v>
      </c>
      <c r="B212" s="244" t="s">
        <v>17</v>
      </c>
      <c r="C212" s="245">
        <f>SUM(D212:G212)</f>
        <v>2759247.8</v>
      </c>
      <c r="D212" s="245">
        <f>'[12]7.3.1'!$D$284</f>
        <v>2465797.7999999998</v>
      </c>
      <c r="E212" s="245">
        <f>'[12]7.3.1'!$E$284</f>
        <v>0</v>
      </c>
      <c r="F212" s="245">
        <f>'[12]7.3.1'!$F$284</f>
        <v>293450</v>
      </c>
      <c r="G212" s="245">
        <v>0</v>
      </c>
      <c r="H212" s="245">
        <f>'[12]7.3.1'!$H$284</f>
        <v>2465797.7999999998</v>
      </c>
      <c r="I212" s="245"/>
      <c r="J212" s="245">
        <f>'[12]7.3.1'!$I$284</f>
        <v>293450</v>
      </c>
      <c r="K212" s="53">
        <v>2548600</v>
      </c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</row>
    <row r="213" spans="1:39" s="51" customFormat="1" ht="15" customHeight="1" x14ac:dyDescent="0.25">
      <c r="A213" s="163" t="s">
        <v>240</v>
      </c>
      <c r="B213" s="244" t="s">
        <v>19</v>
      </c>
      <c r="C213" s="245">
        <f>SUM(D213:G213)</f>
        <v>4200007</v>
      </c>
      <c r="D213" s="245">
        <f>'[12]7.3.1'!$D$285</f>
        <v>2761207</v>
      </c>
      <c r="E213" s="245">
        <f>'[12]7.3.1'!$E$285</f>
        <v>1438800</v>
      </c>
      <c r="F213" s="245">
        <f>'[14]6.3.3.'!$J$2325</f>
        <v>0</v>
      </c>
      <c r="G213" s="245">
        <v>0</v>
      </c>
      <c r="H213" s="245">
        <f>'[12]7.3.1'!$H$285</f>
        <v>2761207</v>
      </c>
      <c r="I213" s="245"/>
      <c r="J213" s="245">
        <f>'[12]7.3.1'!$I$285</f>
        <v>1438800</v>
      </c>
      <c r="K213" s="53">
        <v>2382800</v>
      </c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  <c r="AL213" s="52"/>
      <c r="AM213" s="52"/>
    </row>
    <row r="214" spans="1:39" s="51" customFormat="1" ht="15" customHeight="1" x14ac:dyDescent="0.25">
      <c r="A214" s="164" t="s">
        <v>241</v>
      </c>
      <c r="B214" s="57" t="s">
        <v>436</v>
      </c>
      <c r="C214" s="166">
        <f>SUM(C215:C216)</f>
        <v>4880038</v>
      </c>
      <c r="D214" s="166">
        <f t="shared" ref="D214:G214" si="138">SUM(D215:D216)</f>
        <v>4880038</v>
      </c>
      <c r="E214" s="166">
        <f t="shared" si="138"/>
        <v>0</v>
      </c>
      <c r="F214" s="166">
        <f t="shared" si="138"/>
        <v>0</v>
      </c>
      <c r="G214" s="166">
        <f t="shared" si="138"/>
        <v>0</v>
      </c>
      <c r="H214" s="166">
        <f t="shared" ref="H214:J214" si="139">SUM(H215:H216)</f>
        <v>0</v>
      </c>
      <c r="I214" s="166">
        <f t="shared" si="139"/>
        <v>0</v>
      </c>
      <c r="J214" s="166">
        <f t="shared" si="139"/>
        <v>4880038</v>
      </c>
      <c r="K214" s="53">
        <v>0</v>
      </c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  <c r="AL214" s="52"/>
      <c r="AM214" s="52"/>
    </row>
    <row r="215" spans="1:39" s="51" customFormat="1" ht="15" customHeight="1" x14ac:dyDescent="0.25">
      <c r="A215" s="163" t="s">
        <v>243</v>
      </c>
      <c r="B215" s="55" t="s">
        <v>17</v>
      </c>
      <c r="C215" s="167">
        <f>SUM(D215:G215)</f>
        <v>1457000</v>
      </c>
      <c r="D215" s="167">
        <f>'[14]6.3.3.'!$H$2349</f>
        <v>1457000</v>
      </c>
      <c r="E215" s="167">
        <v>0</v>
      </c>
      <c r="F215" s="167">
        <v>0</v>
      </c>
      <c r="G215" s="167">
        <v>0</v>
      </c>
      <c r="H215" s="167">
        <f>'[14]6.3.3.'!$L$2349</f>
        <v>0</v>
      </c>
      <c r="I215" s="167"/>
      <c r="J215" s="167">
        <f>'[14]6.3.3.'!$M$2349</f>
        <v>1457000</v>
      </c>
      <c r="K215" s="53">
        <v>0</v>
      </c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  <c r="AL215" s="52"/>
      <c r="AM215" s="52"/>
    </row>
    <row r="216" spans="1:39" s="58" customFormat="1" ht="15" customHeight="1" x14ac:dyDescent="0.25">
      <c r="A216" s="163" t="s">
        <v>244</v>
      </c>
      <c r="B216" s="55" t="s">
        <v>19</v>
      </c>
      <c r="C216" s="167">
        <f>SUM(D216:G216)</f>
        <v>3423038</v>
      </c>
      <c r="D216" s="167">
        <f>'[14]6.3.3.'!$H$2357</f>
        <v>3423038</v>
      </c>
      <c r="E216" s="167">
        <v>0</v>
      </c>
      <c r="F216" s="167">
        <v>0</v>
      </c>
      <c r="G216" s="167">
        <v>0</v>
      </c>
      <c r="H216" s="167">
        <f>'[14]6.3.3.'!$L$2357</f>
        <v>0</v>
      </c>
      <c r="I216" s="167"/>
      <c r="J216" s="167">
        <f>'[14]6.3.3.'!$M$2357</f>
        <v>3423038</v>
      </c>
      <c r="K216" s="53">
        <v>0</v>
      </c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  <c r="AL216" s="52"/>
      <c r="AM216" s="52"/>
    </row>
    <row r="217" spans="1:39" s="56" customFormat="1" ht="36" customHeight="1" x14ac:dyDescent="0.25">
      <c r="A217" s="162">
        <v>71</v>
      </c>
      <c r="B217" s="57" t="s">
        <v>437</v>
      </c>
      <c r="C217" s="166">
        <f>SUM(C218:C219)</f>
        <v>7234307.7999999998</v>
      </c>
      <c r="D217" s="166">
        <f t="shared" ref="D217:G217" si="140">SUM(D218:D219)</f>
        <v>3747650</v>
      </c>
      <c r="E217" s="166">
        <f t="shared" si="140"/>
        <v>3252947.8</v>
      </c>
      <c r="F217" s="166">
        <f t="shared" si="140"/>
        <v>233710</v>
      </c>
      <c r="G217" s="166">
        <f t="shared" si="140"/>
        <v>0</v>
      </c>
      <c r="H217" s="166">
        <f>SUM(H218:H219)</f>
        <v>3229900</v>
      </c>
      <c r="I217" s="166">
        <f t="shared" ref="I217:J217" si="141">SUM(I218:I219)</f>
        <v>0</v>
      </c>
      <c r="J217" s="166">
        <f t="shared" si="141"/>
        <v>4004407.8</v>
      </c>
      <c r="K217" s="53">
        <v>8391339</v>
      </c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</row>
    <row r="218" spans="1:39" s="54" customFormat="1" ht="15" customHeight="1" x14ac:dyDescent="0.25">
      <c r="A218" s="163" t="s">
        <v>246</v>
      </c>
      <c r="B218" s="55" t="s">
        <v>17</v>
      </c>
      <c r="C218" s="167">
        <f>SUM(D218:G218)</f>
        <v>1960075.8</v>
      </c>
      <c r="D218" s="167">
        <f>'[14]6.3.3.'!$H$2375</f>
        <v>367917</v>
      </c>
      <c r="E218" s="167">
        <f>'[14]6.3.3.'!$I$2375</f>
        <v>1358448.8</v>
      </c>
      <c r="F218" s="167">
        <f>'[14]6.3.3.'!$J$2375</f>
        <v>233710</v>
      </c>
      <c r="G218" s="167">
        <v>0</v>
      </c>
      <c r="H218" s="167">
        <f>'[14]6.3.3.'!$L$2375</f>
        <v>367917</v>
      </c>
      <c r="I218" s="167"/>
      <c r="J218" s="167">
        <f>'[14]6.3.3.'!$M$2375</f>
        <v>1592158.8</v>
      </c>
      <c r="K218" s="53">
        <v>4807739</v>
      </c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  <c r="AL218" s="52"/>
      <c r="AM218" s="52"/>
    </row>
    <row r="219" spans="1:39" s="51" customFormat="1" ht="15" customHeight="1" x14ac:dyDescent="0.25">
      <c r="A219" s="163" t="s">
        <v>247</v>
      </c>
      <c r="B219" s="55" t="s">
        <v>19</v>
      </c>
      <c r="C219" s="167">
        <f>SUM(D219:G219)</f>
        <v>5274232</v>
      </c>
      <c r="D219" s="167">
        <f>'[14]6.3.3.'!$H$2389</f>
        <v>3379733</v>
      </c>
      <c r="E219" s="167">
        <f>'[14]6.3.3.'!$I$2389</f>
        <v>1894499</v>
      </c>
      <c r="F219" s="167">
        <f>'[14]6.3.3.'!$J$2389</f>
        <v>0</v>
      </c>
      <c r="G219" s="167">
        <v>0</v>
      </c>
      <c r="H219" s="167">
        <f>'[14]6.3.3.'!$L$2389</f>
        <v>2861983</v>
      </c>
      <c r="I219" s="167"/>
      <c r="J219" s="167">
        <f>'[14]6.3.3.'!$M$2389</f>
        <v>2412249</v>
      </c>
      <c r="K219" s="53">
        <v>3583600</v>
      </c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</row>
    <row r="220" spans="1:39" s="56" customFormat="1" ht="36" customHeight="1" x14ac:dyDescent="0.25">
      <c r="A220" s="162">
        <v>72</v>
      </c>
      <c r="B220" s="57" t="s">
        <v>438</v>
      </c>
      <c r="C220" s="166">
        <f>SUM(C221:C222)</f>
        <v>10226477.6</v>
      </c>
      <c r="D220" s="166">
        <f t="shared" ref="D220:G220" si="142">SUM(D221:D222)</f>
        <v>0</v>
      </c>
      <c r="E220" s="166">
        <f t="shared" si="142"/>
        <v>5191979</v>
      </c>
      <c r="F220" s="166">
        <f t="shared" si="142"/>
        <v>5034498.5999999996</v>
      </c>
      <c r="G220" s="166">
        <f t="shared" si="142"/>
        <v>0</v>
      </c>
      <c r="H220" s="166">
        <f t="shared" ref="H220:J220" si="143">SUM(H221:H222)</f>
        <v>0</v>
      </c>
      <c r="I220" s="166">
        <f t="shared" si="143"/>
        <v>0</v>
      </c>
      <c r="J220" s="166">
        <f t="shared" si="143"/>
        <v>10226477.6</v>
      </c>
      <c r="K220" s="53">
        <v>0</v>
      </c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</row>
    <row r="221" spans="1:39" s="54" customFormat="1" ht="15" customHeight="1" x14ac:dyDescent="0.25">
      <c r="A221" s="163" t="s">
        <v>249</v>
      </c>
      <c r="B221" s="55" t="s">
        <v>17</v>
      </c>
      <c r="C221" s="167">
        <f>SUM(D221:G221)</f>
        <v>6400970.5999999996</v>
      </c>
      <c r="D221" s="167">
        <f>'[14]6.3.3.'!$H$2419</f>
        <v>0</v>
      </c>
      <c r="E221" s="167">
        <f>'[14]6.3.3.'!$I$2419</f>
        <v>1366472</v>
      </c>
      <c r="F221" s="167">
        <f>'[14]6.3.3.'!$J$2419</f>
        <v>5034498.5999999996</v>
      </c>
      <c r="G221" s="167">
        <v>0</v>
      </c>
      <c r="H221" s="167">
        <f>'[14]6.3.3.'!$L$2419</f>
        <v>0</v>
      </c>
      <c r="I221" s="167"/>
      <c r="J221" s="167">
        <f>'[14]6.3.3.'!$M$2419</f>
        <v>6400970.5999999996</v>
      </c>
      <c r="K221" s="53">
        <v>0</v>
      </c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</row>
    <row r="222" spans="1:39" s="51" customFormat="1" ht="15" customHeight="1" x14ac:dyDescent="0.25">
      <c r="A222" s="163" t="s">
        <v>250</v>
      </c>
      <c r="B222" s="55" t="s">
        <v>19</v>
      </c>
      <c r="C222" s="167">
        <f>SUM(D222:G222)</f>
        <v>3825507</v>
      </c>
      <c r="D222" s="167">
        <f>'[14]6.3.3.'!$H$2452</f>
        <v>0</v>
      </c>
      <c r="E222" s="167">
        <f>'[14]6.3.3.'!$I$2452</f>
        <v>3825507</v>
      </c>
      <c r="F222" s="167">
        <f>'[14]6.3.3.'!$J$2452</f>
        <v>0</v>
      </c>
      <c r="G222" s="167">
        <v>0</v>
      </c>
      <c r="H222" s="167">
        <f>'[14]6.3.3.'!$L$2452</f>
        <v>0</v>
      </c>
      <c r="I222" s="167"/>
      <c r="J222" s="167">
        <f>'[14]6.3.3.'!$M$2452</f>
        <v>3825507</v>
      </c>
      <c r="K222" s="53">
        <v>0</v>
      </c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2"/>
    </row>
    <row r="223" spans="1:39" s="51" customFormat="1" ht="37.5" customHeight="1" x14ac:dyDescent="0.25">
      <c r="A223" s="164" t="s">
        <v>251</v>
      </c>
      <c r="B223" s="246" t="s">
        <v>439</v>
      </c>
      <c r="C223" s="247">
        <f>SUM(C224:C225)</f>
        <v>9914913</v>
      </c>
      <c r="D223" s="247">
        <f t="shared" ref="D223:G223" si="144">SUM(D224:D225)</f>
        <v>5808699</v>
      </c>
      <c r="E223" s="247">
        <f t="shared" si="144"/>
        <v>4106214</v>
      </c>
      <c r="F223" s="247">
        <f t="shared" si="144"/>
        <v>0</v>
      </c>
      <c r="G223" s="247">
        <f t="shared" si="144"/>
        <v>0</v>
      </c>
      <c r="H223" s="247">
        <f t="shared" ref="H223:J223" si="145">SUM(H224:H225)</f>
        <v>5108699</v>
      </c>
      <c r="I223" s="247">
        <f t="shared" si="145"/>
        <v>0</v>
      </c>
      <c r="J223" s="247">
        <f t="shared" si="145"/>
        <v>4806214</v>
      </c>
      <c r="K223" s="53">
        <v>0</v>
      </c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2"/>
    </row>
    <row r="224" spans="1:39" s="51" customFormat="1" ht="15" customHeight="1" x14ac:dyDescent="0.25">
      <c r="A224" s="163" t="s">
        <v>253</v>
      </c>
      <c r="B224" s="244" t="s">
        <v>17</v>
      </c>
      <c r="C224" s="245">
        <f>SUM(D224:G224)</f>
        <v>4732737</v>
      </c>
      <c r="D224" s="245">
        <f>'[12]7.3.1'!$D$300</f>
        <v>2819761</v>
      </c>
      <c r="E224" s="245">
        <f>'[12]7.3.1'!$E$300</f>
        <v>1912976</v>
      </c>
      <c r="F224" s="245">
        <v>0</v>
      </c>
      <c r="G224" s="245">
        <v>0</v>
      </c>
      <c r="H224" s="245">
        <f>'[12]7.3.1'!$H$300</f>
        <v>2119761</v>
      </c>
      <c r="I224" s="245"/>
      <c r="J224" s="245">
        <f>'[12]7.3.1'!$I$300</f>
        <v>2612976</v>
      </c>
      <c r="K224" s="53">
        <v>0</v>
      </c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</row>
    <row r="225" spans="1:39" s="58" customFormat="1" ht="15" customHeight="1" x14ac:dyDescent="0.25">
      <c r="A225" s="163" t="s">
        <v>254</v>
      </c>
      <c r="B225" s="244" t="s">
        <v>19</v>
      </c>
      <c r="C225" s="245">
        <f>SUM(D225:G225)</f>
        <v>5182176</v>
      </c>
      <c r="D225" s="245">
        <f>'[12]7.3.1'!$D$301</f>
        <v>2988938</v>
      </c>
      <c r="E225" s="245">
        <f>'[12]7.3.1'!$E$301</f>
        <v>2193238</v>
      </c>
      <c r="F225" s="245">
        <v>0</v>
      </c>
      <c r="G225" s="245">
        <v>0</v>
      </c>
      <c r="H225" s="245">
        <f>'[12]7.3.1'!$H$301</f>
        <v>2988938</v>
      </c>
      <c r="I225" s="245"/>
      <c r="J225" s="245">
        <f>'[12]7.3.1'!$I$301</f>
        <v>2193238</v>
      </c>
      <c r="K225" s="53">
        <v>0</v>
      </c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2"/>
    </row>
    <row r="226" spans="1:39" s="56" customFormat="1" ht="35.25" customHeight="1" x14ac:dyDescent="0.25">
      <c r="A226" s="162">
        <v>74</v>
      </c>
      <c r="B226" s="57" t="s">
        <v>440</v>
      </c>
      <c r="C226" s="166">
        <f>SUM(C227:C228)</f>
        <v>5640816</v>
      </c>
      <c r="D226" s="166">
        <f t="shared" ref="D226:G226" si="146">SUM(D227:D228)</f>
        <v>0</v>
      </c>
      <c r="E226" s="166">
        <f t="shared" si="146"/>
        <v>5640816</v>
      </c>
      <c r="F226" s="166">
        <f t="shared" si="146"/>
        <v>0</v>
      </c>
      <c r="G226" s="166">
        <f t="shared" si="146"/>
        <v>0</v>
      </c>
      <c r="H226" s="166">
        <f t="shared" ref="H226:J226" si="147">SUM(H227:H228)</f>
        <v>0</v>
      </c>
      <c r="I226" s="166">
        <f t="shared" si="147"/>
        <v>0</v>
      </c>
      <c r="J226" s="166">
        <f t="shared" si="147"/>
        <v>5640816</v>
      </c>
      <c r="K226" s="53">
        <v>0</v>
      </c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</row>
    <row r="227" spans="1:39" s="54" customFormat="1" ht="15" customHeight="1" x14ac:dyDescent="0.25">
      <c r="A227" s="163" t="s">
        <v>256</v>
      </c>
      <c r="B227" s="55" t="s">
        <v>17</v>
      </c>
      <c r="C227" s="167">
        <f>SUM(D227:G227)</f>
        <v>3626478</v>
      </c>
      <c r="D227" s="167">
        <f>'[14]6.3.3.'!$H$2518</f>
        <v>0</v>
      </c>
      <c r="E227" s="167">
        <f>'[14]6.3.3.'!$I$2518</f>
        <v>3626478</v>
      </c>
      <c r="F227" s="167">
        <f>'[14]6.3.3.'!$J$2518</f>
        <v>0</v>
      </c>
      <c r="G227" s="167">
        <v>0</v>
      </c>
      <c r="H227" s="167">
        <f>'[14]6.3.3.'!$L$2518</f>
        <v>0</v>
      </c>
      <c r="I227" s="167"/>
      <c r="J227" s="167">
        <f>'[14]6.3.3.'!$M$2518</f>
        <v>3626478</v>
      </c>
      <c r="K227" s="53">
        <v>0</v>
      </c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2"/>
    </row>
    <row r="228" spans="1:39" s="51" customFormat="1" ht="15" customHeight="1" x14ac:dyDescent="0.25">
      <c r="A228" s="163" t="s">
        <v>257</v>
      </c>
      <c r="B228" s="55" t="s">
        <v>19</v>
      </c>
      <c r="C228" s="167">
        <f>SUM(D228:G228)</f>
        <v>2014338</v>
      </c>
      <c r="D228" s="167">
        <f>'[14]6.3.3.'!$H$2534</f>
        <v>0</v>
      </c>
      <c r="E228" s="167">
        <f>'[14]6.3.3.'!$I$2534</f>
        <v>2014338</v>
      </c>
      <c r="F228" s="167">
        <f>'[14]6.3.3.'!$J$2534</f>
        <v>0</v>
      </c>
      <c r="G228" s="167">
        <v>0</v>
      </c>
      <c r="H228" s="167">
        <f>'[14]6.3.3.'!$L$2534</f>
        <v>0</v>
      </c>
      <c r="I228" s="167"/>
      <c r="J228" s="167">
        <f>'[14]6.3.3.'!$M$2534</f>
        <v>2014338</v>
      </c>
      <c r="K228" s="53">
        <v>0</v>
      </c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</row>
    <row r="229" spans="1:39" s="56" customFormat="1" ht="38.25" customHeight="1" x14ac:dyDescent="0.25">
      <c r="A229" s="162">
        <v>75</v>
      </c>
      <c r="B229" s="57" t="s">
        <v>441</v>
      </c>
      <c r="C229" s="166">
        <f>SUM(C230:C231)</f>
        <v>6078843</v>
      </c>
      <c r="D229" s="166">
        <f t="shared" ref="D229:G229" si="148">SUM(D230:D231)</f>
        <v>282000</v>
      </c>
      <c r="E229" s="166">
        <f t="shared" si="148"/>
        <v>5579476</v>
      </c>
      <c r="F229" s="166">
        <f t="shared" si="148"/>
        <v>217367</v>
      </c>
      <c r="G229" s="166">
        <f t="shared" si="148"/>
        <v>0</v>
      </c>
      <c r="H229" s="166">
        <f t="shared" ref="H229:J229" si="149">SUM(H230:H231)</f>
        <v>282000</v>
      </c>
      <c r="I229" s="166">
        <f t="shared" si="149"/>
        <v>0</v>
      </c>
      <c r="J229" s="166">
        <f t="shared" si="149"/>
        <v>5796843</v>
      </c>
      <c r="K229" s="53">
        <v>0</v>
      </c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</row>
    <row r="230" spans="1:39" s="54" customFormat="1" ht="15" customHeight="1" x14ac:dyDescent="0.25">
      <c r="A230" s="163" t="s">
        <v>259</v>
      </c>
      <c r="B230" s="55" t="s">
        <v>17</v>
      </c>
      <c r="C230" s="167">
        <f>SUM(D230:G230)</f>
        <v>1201405</v>
      </c>
      <c r="D230" s="167">
        <f>'[14]6.3.3.'!$H$2553</f>
        <v>282000</v>
      </c>
      <c r="E230" s="167">
        <f>'[14]6.3.3.'!$I$2553</f>
        <v>702038</v>
      </c>
      <c r="F230" s="167">
        <f>'[14]6.3.3.'!$J$2553</f>
        <v>217367</v>
      </c>
      <c r="G230" s="167">
        <v>0</v>
      </c>
      <c r="H230" s="167">
        <f>'[14]6.3.3.'!$L$2553</f>
        <v>282000</v>
      </c>
      <c r="I230" s="167"/>
      <c r="J230" s="167">
        <f>'[14]6.3.3.'!$M$2553</f>
        <v>919405</v>
      </c>
      <c r="K230" s="53">
        <v>0</v>
      </c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2"/>
      <c r="AF230" s="52"/>
      <c r="AG230" s="52"/>
      <c r="AH230" s="52"/>
      <c r="AI230" s="52"/>
      <c r="AJ230" s="52"/>
      <c r="AK230" s="52"/>
      <c r="AL230" s="52"/>
      <c r="AM230" s="52"/>
    </row>
    <row r="231" spans="1:39" s="51" customFormat="1" ht="15" customHeight="1" x14ac:dyDescent="0.25">
      <c r="A231" s="163" t="s">
        <v>260</v>
      </c>
      <c r="B231" s="55" t="s">
        <v>19</v>
      </c>
      <c r="C231" s="167">
        <f>SUM(D231:G231)</f>
        <v>4877438</v>
      </c>
      <c r="D231" s="167">
        <f>'[14]6.3.3.'!$H$2564</f>
        <v>0</v>
      </c>
      <c r="E231" s="167">
        <f>'[14]6.3.3.'!$I$2564</f>
        <v>4877438</v>
      </c>
      <c r="F231" s="167">
        <f>'[14]6.3.3.'!$J$2564</f>
        <v>0</v>
      </c>
      <c r="G231" s="167">
        <v>0</v>
      </c>
      <c r="H231" s="167">
        <f>'[14]6.3.3.'!$L$2564</f>
        <v>0</v>
      </c>
      <c r="I231" s="167"/>
      <c r="J231" s="167">
        <f>'[14]6.3.3.'!$M$2564</f>
        <v>4877438</v>
      </c>
      <c r="K231" s="53">
        <v>0</v>
      </c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</row>
    <row r="232" spans="1:39" s="51" customFormat="1" ht="25.5" customHeight="1" x14ac:dyDescent="0.25">
      <c r="A232" s="164" t="s">
        <v>261</v>
      </c>
      <c r="B232" s="57" t="s">
        <v>442</v>
      </c>
      <c r="C232" s="166">
        <f>SUM(C233:C234)</f>
        <v>3022468</v>
      </c>
      <c r="D232" s="166">
        <f t="shared" ref="D232:G232" si="150">SUM(D233:D234)</f>
        <v>940000</v>
      </c>
      <c r="E232" s="166">
        <f t="shared" si="150"/>
        <v>1649378</v>
      </c>
      <c r="F232" s="166">
        <f t="shared" si="150"/>
        <v>433090</v>
      </c>
      <c r="G232" s="166">
        <f t="shared" si="150"/>
        <v>0</v>
      </c>
      <c r="H232" s="166">
        <f t="shared" ref="H232:J232" si="151">SUM(H233:H234)</f>
        <v>940000</v>
      </c>
      <c r="I232" s="166">
        <f t="shared" si="151"/>
        <v>0</v>
      </c>
      <c r="J232" s="166">
        <f t="shared" si="151"/>
        <v>2082468</v>
      </c>
      <c r="K232" s="53">
        <v>0</v>
      </c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</row>
    <row r="233" spans="1:39" s="51" customFormat="1" ht="15" customHeight="1" x14ac:dyDescent="0.25">
      <c r="A233" s="163" t="s">
        <v>263</v>
      </c>
      <c r="B233" s="55" t="s">
        <v>17</v>
      </c>
      <c r="C233" s="167">
        <f>SUM(D233:G233)</f>
        <v>1373090</v>
      </c>
      <c r="D233" s="167">
        <f>'[14]6.3.3.'!$H$2591</f>
        <v>940000</v>
      </c>
      <c r="E233" s="167">
        <f>'[14]6.3.3.'!$I$2591</f>
        <v>0</v>
      </c>
      <c r="F233" s="167">
        <f>'[14]6.3.3.'!$J$2591</f>
        <v>433090</v>
      </c>
      <c r="G233" s="167">
        <v>0</v>
      </c>
      <c r="H233" s="167">
        <f>'[14]6.3.3.'!$L$2591</f>
        <v>940000</v>
      </c>
      <c r="I233" s="167"/>
      <c r="J233" s="167">
        <f>'[14]6.3.3.'!$M$2591</f>
        <v>433090</v>
      </c>
      <c r="K233" s="53">
        <v>0</v>
      </c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2"/>
    </row>
    <row r="234" spans="1:39" s="58" customFormat="1" ht="15" customHeight="1" x14ac:dyDescent="0.25">
      <c r="A234" s="163" t="s">
        <v>264</v>
      </c>
      <c r="B234" s="55" t="s">
        <v>19</v>
      </c>
      <c r="C234" s="167">
        <f>SUM(D234:G234)</f>
        <v>1649378</v>
      </c>
      <c r="D234" s="167">
        <f>'[14]6.3.3.'!$H$2600</f>
        <v>0</v>
      </c>
      <c r="E234" s="167">
        <f>'[14]6.3.3.'!$I$2600</f>
        <v>1649378</v>
      </c>
      <c r="F234" s="167">
        <f>'[14]6.3.3.'!$J$2600</f>
        <v>0</v>
      </c>
      <c r="G234" s="167">
        <v>0</v>
      </c>
      <c r="H234" s="167">
        <f>'[14]6.3.3.'!$L$2600</f>
        <v>0</v>
      </c>
      <c r="I234" s="167"/>
      <c r="J234" s="167">
        <f>'[14]6.3.3.'!$M$2600</f>
        <v>1649378</v>
      </c>
      <c r="K234" s="53">
        <v>0</v>
      </c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2"/>
    </row>
    <row r="235" spans="1:39" s="56" customFormat="1" ht="34.5" customHeight="1" x14ac:dyDescent="0.25">
      <c r="A235" s="162">
        <v>77</v>
      </c>
      <c r="B235" s="246" t="s">
        <v>443</v>
      </c>
      <c r="C235" s="247">
        <f>SUM(C236:C237)</f>
        <v>11624085</v>
      </c>
      <c r="D235" s="247">
        <f t="shared" ref="D235:G235" si="152">SUM(D236:D237)</f>
        <v>7839078</v>
      </c>
      <c r="E235" s="247">
        <f t="shared" si="152"/>
        <v>3785007</v>
      </c>
      <c r="F235" s="247">
        <f t="shared" si="152"/>
        <v>0</v>
      </c>
      <c r="G235" s="247">
        <f t="shared" si="152"/>
        <v>0</v>
      </c>
      <c r="H235" s="247">
        <f t="shared" ref="H235:J235" si="153">SUM(H236:H237)</f>
        <v>5800446.9994120002</v>
      </c>
      <c r="I235" s="247">
        <f t="shared" si="153"/>
        <v>0</v>
      </c>
      <c r="J235" s="247">
        <f t="shared" si="153"/>
        <v>5823638.0005879998</v>
      </c>
      <c r="K235" s="53">
        <v>2582050</v>
      </c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</row>
    <row r="236" spans="1:39" s="54" customFormat="1" ht="15" customHeight="1" x14ac:dyDescent="0.25">
      <c r="A236" s="163" t="s">
        <v>266</v>
      </c>
      <c r="B236" s="244" t="s">
        <v>17</v>
      </c>
      <c r="C236" s="245">
        <f>SUM(D236:G236)</f>
        <v>4587440</v>
      </c>
      <c r="D236" s="245">
        <f>'[12]7.3.1'!$D$316</f>
        <v>3434440</v>
      </c>
      <c r="E236" s="245">
        <f>'[12]7.3.1'!$E$316</f>
        <v>1153000</v>
      </c>
      <c r="F236" s="245">
        <f>'[14]6.3.3.'!$J$2622</f>
        <v>0</v>
      </c>
      <c r="G236" s="245">
        <v>0</v>
      </c>
      <c r="H236" s="245">
        <f>'[12]7.3.1'!$H$316</f>
        <v>2031640</v>
      </c>
      <c r="I236" s="245"/>
      <c r="J236" s="245">
        <f>'[12]7.3.1'!$I$316</f>
        <v>2555800</v>
      </c>
      <c r="K236" s="53">
        <v>770500</v>
      </c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2"/>
    </row>
    <row r="237" spans="1:39" s="51" customFormat="1" ht="15" customHeight="1" x14ac:dyDescent="0.25">
      <c r="A237" s="163" t="s">
        <v>267</v>
      </c>
      <c r="B237" s="244" t="s">
        <v>19</v>
      </c>
      <c r="C237" s="245">
        <f>SUM(D237:G237)</f>
        <v>7036645</v>
      </c>
      <c r="D237" s="245">
        <f>'[12]7.3.1'!$D$317</f>
        <v>4404638</v>
      </c>
      <c r="E237" s="245">
        <f>'[12]7.3.1'!$E$317</f>
        <v>2632007</v>
      </c>
      <c r="F237" s="245">
        <f>'[14]6.3.3.'!$J$2637</f>
        <v>0</v>
      </c>
      <c r="G237" s="245">
        <v>0</v>
      </c>
      <c r="H237" s="245">
        <f>'[12]7.3.1'!$H$317</f>
        <v>3768806.9994120002</v>
      </c>
      <c r="I237" s="245"/>
      <c r="J237" s="245">
        <f>'[12]7.3.1'!$I$317</f>
        <v>3267838.0005879998</v>
      </c>
      <c r="K237" s="53">
        <v>1811550</v>
      </c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2"/>
    </row>
    <row r="238" spans="1:39" s="56" customFormat="1" ht="37.5" customHeight="1" x14ac:dyDescent="0.25">
      <c r="A238" s="162">
        <v>78</v>
      </c>
      <c r="B238" s="57" t="s">
        <v>444</v>
      </c>
      <c r="C238" s="166">
        <f>SUM(C239:C240)</f>
        <v>3135910</v>
      </c>
      <c r="D238" s="166">
        <f t="shared" ref="D238:G238" si="154">SUM(D239:D240)</f>
        <v>833034</v>
      </c>
      <c r="E238" s="166">
        <f t="shared" si="154"/>
        <v>2302876</v>
      </c>
      <c r="F238" s="166">
        <f t="shared" si="154"/>
        <v>0</v>
      </c>
      <c r="G238" s="166">
        <f t="shared" si="154"/>
        <v>0</v>
      </c>
      <c r="H238" s="166">
        <f t="shared" ref="H238:J238" si="155">SUM(H239:H240)</f>
        <v>833034</v>
      </c>
      <c r="I238" s="166">
        <f t="shared" si="155"/>
        <v>0</v>
      </c>
      <c r="J238" s="166">
        <f t="shared" si="155"/>
        <v>2302876</v>
      </c>
      <c r="K238" s="53">
        <v>0</v>
      </c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</row>
    <row r="239" spans="1:39" s="54" customFormat="1" ht="15" customHeight="1" x14ac:dyDescent="0.25">
      <c r="A239" s="163" t="s">
        <v>269</v>
      </c>
      <c r="B239" s="55" t="s">
        <v>17</v>
      </c>
      <c r="C239" s="167">
        <f>SUM(D239:G239)</f>
        <v>1418238</v>
      </c>
      <c r="D239" s="167">
        <f>'[14]6.3.3.'!$H$2670</f>
        <v>777000</v>
      </c>
      <c r="E239" s="167">
        <f>'[14]6.3.3.'!$I$2670</f>
        <v>641238</v>
      </c>
      <c r="F239" s="167">
        <v>0</v>
      </c>
      <c r="G239" s="167">
        <v>0</v>
      </c>
      <c r="H239" s="167">
        <f>'[14]6.3.3.'!$L$2670</f>
        <v>777000</v>
      </c>
      <c r="I239" s="167"/>
      <c r="J239" s="167">
        <f>'[14]6.3.3.'!$M$2670</f>
        <v>641238</v>
      </c>
      <c r="K239" s="53">
        <v>0</v>
      </c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2"/>
    </row>
    <row r="240" spans="1:39" s="51" customFormat="1" ht="15" customHeight="1" x14ac:dyDescent="0.25">
      <c r="A240" s="163" t="s">
        <v>270</v>
      </c>
      <c r="B240" s="55" t="s">
        <v>19</v>
      </c>
      <c r="C240" s="167">
        <f>SUM(D240:G240)</f>
        <v>1717672</v>
      </c>
      <c r="D240" s="167">
        <f>'[14]6.3.3.'!$H$2680</f>
        <v>56034</v>
      </c>
      <c r="E240" s="167">
        <f>'[14]6.3.3.'!$I$2680</f>
        <v>1661638</v>
      </c>
      <c r="F240" s="167">
        <v>0</v>
      </c>
      <c r="G240" s="167">
        <v>0</v>
      </c>
      <c r="H240" s="167">
        <f>'[14]6.3.3.'!$L$2680</f>
        <v>56034</v>
      </c>
      <c r="I240" s="167"/>
      <c r="J240" s="167">
        <f>'[14]6.3.3.'!$M$2680</f>
        <v>1661638</v>
      </c>
      <c r="K240" s="53">
        <v>0</v>
      </c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2"/>
    </row>
    <row r="241" spans="1:11" s="52" customFormat="1" ht="33" customHeight="1" x14ac:dyDescent="0.25">
      <c r="A241" s="170" t="s">
        <v>445</v>
      </c>
      <c r="B241" s="171" t="s">
        <v>448</v>
      </c>
      <c r="C241" s="169">
        <f>SUM(C242:C243)</f>
        <v>788649.4</v>
      </c>
      <c r="D241" s="169">
        <f t="shared" ref="D241:J241" si="156">SUM(D242:D243)</f>
        <v>0</v>
      </c>
      <c r="E241" s="169">
        <f t="shared" si="156"/>
        <v>0</v>
      </c>
      <c r="F241" s="169">
        <f t="shared" si="156"/>
        <v>788649.4</v>
      </c>
      <c r="G241" s="169">
        <f t="shared" si="156"/>
        <v>0</v>
      </c>
      <c r="H241" s="169">
        <f t="shared" si="156"/>
        <v>0</v>
      </c>
      <c r="I241" s="169">
        <f t="shared" si="156"/>
        <v>0</v>
      </c>
      <c r="J241" s="169">
        <f t="shared" si="156"/>
        <v>788649.4</v>
      </c>
      <c r="K241" s="53"/>
    </row>
    <row r="242" spans="1:11" s="52" customFormat="1" ht="15" customHeight="1" x14ac:dyDescent="0.25">
      <c r="A242" s="163" t="s">
        <v>446</v>
      </c>
      <c r="B242" s="55" t="s">
        <v>17</v>
      </c>
      <c r="C242" s="167">
        <f>SUM(D242:G242)</f>
        <v>788649.4</v>
      </c>
      <c r="D242" s="167">
        <f>'[14]6.3.3.'!$H$2703</f>
        <v>0</v>
      </c>
      <c r="E242" s="167">
        <f>'[14]6.3.3.'!$I$2703</f>
        <v>0</v>
      </c>
      <c r="F242" s="167">
        <f>'[14]6.3.3.'!$J$2703</f>
        <v>788649.4</v>
      </c>
      <c r="G242" s="167">
        <v>0</v>
      </c>
      <c r="H242" s="167">
        <f>'[14]6.3.3.'!$L$2703</f>
        <v>0</v>
      </c>
      <c r="I242" s="167"/>
      <c r="J242" s="167">
        <f>'[14]6.3.3.'!$M$2703</f>
        <v>788649.4</v>
      </c>
      <c r="K242" s="53"/>
    </row>
    <row r="243" spans="1:11" s="52" customFormat="1" ht="15" customHeight="1" x14ac:dyDescent="0.25">
      <c r="A243" s="163" t="s">
        <v>447</v>
      </c>
      <c r="B243" s="55" t="s">
        <v>19</v>
      </c>
      <c r="C243" s="167">
        <f>SUM(D243:G243)</f>
        <v>0</v>
      </c>
      <c r="D243" s="167">
        <f>'[14]6.3.3.'!$H$2712</f>
        <v>0</v>
      </c>
      <c r="E243" s="167">
        <f>'[14]6.3.3.'!$I$2712</f>
        <v>0</v>
      </c>
      <c r="F243" s="167">
        <f>'[14]6.3.3.'!$J$2712</f>
        <v>0</v>
      </c>
      <c r="G243" s="167">
        <v>0</v>
      </c>
      <c r="H243" s="167">
        <f>'[14]6.3.3.'!$L$2712</f>
        <v>0</v>
      </c>
      <c r="I243" s="167"/>
      <c r="J243" s="167">
        <f>'[14]6.3.3.'!$M$2712</f>
        <v>0</v>
      </c>
      <c r="K243" s="53"/>
    </row>
    <row r="244" spans="1:11" s="52" customFormat="1" ht="38.25" customHeight="1" x14ac:dyDescent="0.25">
      <c r="A244" s="170" t="s">
        <v>449</v>
      </c>
      <c r="B244" s="171" t="s">
        <v>452</v>
      </c>
      <c r="C244" s="169">
        <f>SUM(C245:C246)</f>
        <v>4260616</v>
      </c>
      <c r="D244" s="169">
        <f t="shared" ref="D244:J244" si="157">SUM(D245:D246)</f>
        <v>1428640</v>
      </c>
      <c r="E244" s="169">
        <f t="shared" si="157"/>
        <v>1226438</v>
      </c>
      <c r="F244" s="169">
        <f t="shared" si="157"/>
        <v>1605538</v>
      </c>
      <c r="G244" s="169">
        <f t="shared" si="157"/>
        <v>0</v>
      </c>
      <c r="H244" s="169">
        <f t="shared" si="157"/>
        <v>1428640</v>
      </c>
      <c r="I244" s="169">
        <f t="shared" si="157"/>
        <v>0</v>
      </c>
      <c r="J244" s="169">
        <f t="shared" si="157"/>
        <v>2831976</v>
      </c>
      <c r="K244" s="53"/>
    </row>
    <row r="245" spans="1:11" s="52" customFormat="1" ht="15" customHeight="1" x14ac:dyDescent="0.25">
      <c r="A245" s="163" t="s">
        <v>450</v>
      </c>
      <c r="B245" s="55" t="s">
        <v>17</v>
      </c>
      <c r="C245" s="167">
        <f>SUM(D245:G245)</f>
        <v>3034178</v>
      </c>
      <c r="D245" s="167">
        <f>'[15]7.3.1'!$D$328</f>
        <v>1428640</v>
      </c>
      <c r="E245" s="167">
        <f>'[14]6.3.3.'!$I$2730</f>
        <v>0</v>
      </c>
      <c r="F245" s="167">
        <f>'[15]7.3.1'!$F$328</f>
        <v>1605538</v>
      </c>
      <c r="G245" s="167">
        <v>0</v>
      </c>
      <c r="H245" s="167">
        <f>'[15]7.3.1'!$H$328</f>
        <v>1428640</v>
      </c>
      <c r="I245" s="167"/>
      <c r="J245" s="167">
        <f>'[14]6.3.3.'!$M$2730</f>
        <v>1605538</v>
      </c>
      <c r="K245" s="53"/>
    </row>
    <row r="246" spans="1:11" s="52" customFormat="1" ht="15" customHeight="1" x14ac:dyDescent="0.25">
      <c r="A246" s="163" t="s">
        <v>451</v>
      </c>
      <c r="B246" s="55" t="s">
        <v>19</v>
      </c>
      <c r="C246" s="167">
        <f>SUM(D246:G246)</f>
        <v>1226438</v>
      </c>
      <c r="D246" s="167">
        <f>'[14]6.3.3.'!$H$2747</f>
        <v>0</v>
      </c>
      <c r="E246" s="167">
        <f>'[15]7.3.1'!$E$329</f>
        <v>1226438</v>
      </c>
      <c r="F246" s="167">
        <f>'[14]6.3.3.'!$J$2747</f>
        <v>0</v>
      </c>
      <c r="G246" s="167">
        <v>0</v>
      </c>
      <c r="H246" s="167">
        <f>'[14]6.3.3.'!$L$2747</f>
        <v>0</v>
      </c>
      <c r="I246" s="167"/>
      <c r="J246" s="167">
        <f>'[14]6.3.3.'!$M$2747</f>
        <v>1226438</v>
      </c>
      <c r="K246" s="53"/>
    </row>
    <row r="247" spans="1:11" s="52" customFormat="1" ht="30.75" customHeight="1" x14ac:dyDescent="0.25">
      <c r="A247" s="170" t="s">
        <v>453</v>
      </c>
      <c r="B247" s="171" t="s">
        <v>456</v>
      </c>
      <c r="C247" s="169">
        <f>SUM(C248:C249)</f>
        <v>7835857</v>
      </c>
      <c r="D247" s="169">
        <f t="shared" ref="D247:J247" si="158">SUM(D248:D249)</f>
        <v>4474981</v>
      </c>
      <c r="E247" s="169">
        <f t="shared" si="158"/>
        <v>3360876</v>
      </c>
      <c r="F247" s="169">
        <f t="shared" si="158"/>
        <v>0</v>
      </c>
      <c r="G247" s="169">
        <f t="shared" si="158"/>
        <v>0</v>
      </c>
      <c r="H247" s="169">
        <f t="shared" si="158"/>
        <v>0</v>
      </c>
      <c r="I247" s="169">
        <f t="shared" si="158"/>
        <v>0</v>
      </c>
      <c r="J247" s="169">
        <f t="shared" si="158"/>
        <v>7835857</v>
      </c>
      <c r="K247" s="53"/>
    </row>
    <row r="248" spans="1:11" s="52" customFormat="1" ht="15" customHeight="1" x14ac:dyDescent="0.25">
      <c r="A248" s="163" t="s">
        <v>454</v>
      </c>
      <c r="B248" s="55" t="s">
        <v>17</v>
      </c>
      <c r="C248" s="167">
        <f>SUM(D248:G248)</f>
        <v>3416419</v>
      </c>
      <c r="D248" s="167">
        <f>'[14]6.3.3.'!$H$2771</f>
        <v>1886143</v>
      </c>
      <c r="E248" s="167">
        <f>'[14]6.3.3.'!$I$2771</f>
        <v>1530276</v>
      </c>
      <c r="F248" s="167">
        <f>'[14]6.3.3.'!$J$2771</f>
        <v>0</v>
      </c>
      <c r="G248" s="167">
        <v>0</v>
      </c>
      <c r="H248" s="167">
        <f>'[14]6.3.3.'!$L$2771</f>
        <v>0</v>
      </c>
      <c r="I248" s="167"/>
      <c r="J248" s="167">
        <f>'[14]6.3.3.'!$M$2771</f>
        <v>3416419</v>
      </c>
      <c r="K248" s="53"/>
    </row>
    <row r="249" spans="1:11" s="52" customFormat="1" ht="15" customHeight="1" x14ac:dyDescent="0.25">
      <c r="A249" s="163" t="s">
        <v>455</v>
      </c>
      <c r="B249" s="55" t="s">
        <v>19</v>
      </c>
      <c r="C249" s="167">
        <f>SUM(D249:G249)</f>
        <v>4419438</v>
      </c>
      <c r="D249" s="167">
        <f>'[14]6.3.3.'!$H$2782</f>
        <v>2588838</v>
      </c>
      <c r="E249" s="167">
        <f>'[14]6.3.3.'!$I$2782</f>
        <v>1830600</v>
      </c>
      <c r="F249" s="167">
        <f>'[14]6.3.3.'!$J$2782</f>
        <v>0</v>
      </c>
      <c r="G249" s="167">
        <v>0</v>
      </c>
      <c r="H249" s="167">
        <f>'[14]6.3.3.'!$L$2782</f>
        <v>0</v>
      </c>
      <c r="I249" s="167"/>
      <c r="J249" s="167">
        <f>'[14]6.3.3.'!$M$2782</f>
        <v>4419438</v>
      </c>
      <c r="K249" s="53"/>
    </row>
    <row r="250" spans="1:11" s="52" customFormat="1" ht="49.5" customHeight="1" x14ac:dyDescent="0.25">
      <c r="A250" s="170" t="s">
        <v>457</v>
      </c>
      <c r="B250" s="171" t="s">
        <v>460</v>
      </c>
      <c r="C250" s="169">
        <f>SUM(C251:C252)</f>
        <v>13963517</v>
      </c>
      <c r="D250" s="169">
        <f t="shared" ref="D250:H250" si="159">SUM(D251:D252)</f>
        <v>0</v>
      </c>
      <c r="E250" s="169">
        <f t="shared" si="159"/>
        <v>8824065</v>
      </c>
      <c r="F250" s="169">
        <f t="shared" si="159"/>
        <v>5139452</v>
      </c>
      <c r="G250" s="169">
        <f t="shared" si="159"/>
        <v>0</v>
      </c>
      <c r="H250" s="169">
        <f t="shared" si="159"/>
        <v>0</v>
      </c>
      <c r="I250" s="169">
        <f t="shared" ref="I250" si="160">SUM(I251:I252)</f>
        <v>0</v>
      </c>
      <c r="J250" s="169">
        <f t="shared" ref="J250" si="161">SUM(J251:J252)</f>
        <v>13963517</v>
      </c>
      <c r="K250" s="53"/>
    </row>
    <row r="251" spans="1:11" s="52" customFormat="1" ht="15" customHeight="1" x14ac:dyDescent="0.25">
      <c r="A251" s="163" t="s">
        <v>458</v>
      </c>
      <c r="B251" s="55" t="s">
        <v>17</v>
      </c>
      <c r="C251" s="167">
        <f>SUM(D251:G251)</f>
        <v>8110741</v>
      </c>
      <c r="D251" s="167">
        <f>'[14]6.3.3.'!$H$2804</f>
        <v>0</v>
      </c>
      <c r="E251" s="167">
        <f>'[14]6.3.3.'!$I$2804</f>
        <v>2971289</v>
      </c>
      <c r="F251" s="167">
        <f>'[14]6.3.3.'!$J$2804</f>
        <v>5139452</v>
      </c>
      <c r="G251" s="167">
        <v>0</v>
      </c>
      <c r="H251" s="167">
        <f>'[14]6.3.3.'!$L$2804</f>
        <v>0</v>
      </c>
      <c r="I251" s="167"/>
      <c r="J251" s="167">
        <f>'[14]6.3.3.'!$M$2804</f>
        <v>8110741</v>
      </c>
      <c r="K251" s="53"/>
    </row>
    <row r="252" spans="1:11" s="52" customFormat="1" ht="15" customHeight="1" x14ac:dyDescent="0.25">
      <c r="A252" s="163" t="s">
        <v>459</v>
      </c>
      <c r="B252" s="55" t="s">
        <v>19</v>
      </c>
      <c r="C252" s="167">
        <f>SUM(D252:G252)</f>
        <v>5852776</v>
      </c>
      <c r="D252" s="167">
        <f>'[14]6.3.3.'!$H$2830</f>
        <v>0</v>
      </c>
      <c r="E252" s="167">
        <f>'[14]6.3.3.'!$I$2830</f>
        <v>5852776</v>
      </c>
      <c r="F252" s="167">
        <f>'[14]6.3.3.'!$J$2830</f>
        <v>0</v>
      </c>
      <c r="G252" s="167">
        <v>0</v>
      </c>
      <c r="H252" s="167">
        <f>'[14]6.3.3.'!$L$2830</f>
        <v>0</v>
      </c>
      <c r="I252" s="167"/>
      <c r="J252" s="167">
        <f>'[14]6.3.3.'!$M$2830</f>
        <v>5852776</v>
      </c>
      <c r="K252" s="53"/>
    </row>
    <row r="253" spans="1:11" s="52" customFormat="1" ht="50.25" customHeight="1" x14ac:dyDescent="0.25">
      <c r="A253" s="170" t="s">
        <v>461</v>
      </c>
      <c r="B253" s="171" t="s">
        <v>464</v>
      </c>
      <c r="C253" s="169">
        <f>SUM(C254:C255)</f>
        <v>4297731</v>
      </c>
      <c r="D253" s="169">
        <f t="shared" ref="D253:J253" si="162">SUM(D254:D255)</f>
        <v>3946638</v>
      </c>
      <c r="E253" s="169">
        <f t="shared" si="162"/>
        <v>351093</v>
      </c>
      <c r="F253" s="169">
        <f t="shared" si="162"/>
        <v>0</v>
      </c>
      <c r="G253" s="169">
        <f t="shared" si="162"/>
        <v>0</v>
      </c>
      <c r="H253" s="169">
        <f t="shared" si="162"/>
        <v>3946638</v>
      </c>
      <c r="I253" s="169">
        <f t="shared" si="162"/>
        <v>0</v>
      </c>
      <c r="J253" s="169">
        <f t="shared" si="162"/>
        <v>351093</v>
      </c>
      <c r="K253" s="53"/>
    </row>
    <row r="254" spans="1:11" s="52" customFormat="1" ht="15" customHeight="1" x14ac:dyDescent="0.25">
      <c r="A254" s="163" t="s">
        <v>462</v>
      </c>
      <c r="B254" s="55" t="s">
        <v>17</v>
      </c>
      <c r="C254" s="167">
        <f>SUM(D254:G254)</f>
        <v>1385093</v>
      </c>
      <c r="D254" s="167">
        <f>'[14]6.3.3.'!$H$2854</f>
        <v>1034000</v>
      </c>
      <c r="E254" s="167">
        <f>'[14]6.3.3.'!$I$2854</f>
        <v>351093</v>
      </c>
      <c r="F254" s="167">
        <v>0</v>
      </c>
      <c r="G254" s="167">
        <v>0</v>
      </c>
      <c r="H254" s="167">
        <f>'[14]6.3.3.'!$L$2854</f>
        <v>1034000</v>
      </c>
      <c r="I254" s="167"/>
      <c r="J254" s="167">
        <f>'[14]6.3.3.'!$M$2854</f>
        <v>351093</v>
      </c>
      <c r="K254" s="53"/>
    </row>
    <row r="255" spans="1:11" s="52" customFormat="1" ht="15" customHeight="1" x14ac:dyDescent="0.25">
      <c r="A255" s="163" t="s">
        <v>463</v>
      </c>
      <c r="B255" s="55" t="s">
        <v>19</v>
      </c>
      <c r="C255" s="167">
        <f>SUM(D255:G255)</f>
        <v>2912638</v>
      </c>
      <c r="D255" s="167">
        <f>'[14]6.3.3.'!$H$2863</f>
        <v>2912638</v>
      </c>
      <c r="E255" s="167">
        <f>'[14]6.3.3.'!$I$2863</f>
        <v>0</v>
      </c>
      <c r="F255" s="167">
        <v>0</v>
      </c>
      <c r="G255" s="167">
        <v>0</v>
      </c>
      <c r="H255" s="167">
        <f>'[14]6.3.3.'!$L$2863</f>
        <v>2912638</v>
      </c>
      <c r="I255" s="167"/>
      <c r="J255" s="167">
        <f>'[14]6.3.3.'!$M$2863</f>
        <v>0</v>
      </c>
      <c r="K255" s="53"/>
    </row>
    <row r="256" spans="1:11" s="52" customFormat="1" ht="39.75" customHeight="1" x14ac:dyDescent="0.25">
      <c r="A256" s="170" t="s">
        <v>465</v>
      </c>
      <c r="B256" s="171" t="s">
        <v>466</v>
      </c>
      <c r="C256" s="169">
        <f>SUM(C257:C258)</f>
        <v>11345328</v>
      </c>
      <c r="D256" s="169">
        <f t="shared" ref="D256:J256" si="163">SUM(D257:D258)</f>
        <v>0</v>
      </c>
      <c r="E256" s="169">
        <f t="shared" si="163"/>
        <v>9263552</v>
      </c>
      <c r="F256" s="169">
        <f t="shared" si="163"/>
        <v>2081776</v>
      </c>
      <c r="G256" s="169">
        <f t="shared" si="163"/>
        <v>0</v>
      </c>
      <c r="H256" s="169">
        <f t="shared" si="163"/>
        <v>0</v>
      </c>
      <c r="I256" s="169">
        <f t="shared" si="163"/>
        <v>0</v>
      </c>
      <c r="J256" s="169">
        <f t="shared" si="163"/>
        <v>11345328</v>
      </c>
      <c r="K256" s="53"/>
    </row>
    <row r="257" spans="1:11" s="52" customFormat="1" ht="15" customHeight="1" x14ac:dyDescent="0.25">
      <c r="A257" s="163" t="s">
        <v>467</v>
      </c>
      <c r="B257" s="55" t="s">
        <v>17</v>
      </c>
      <c r="C257" s="167">
        <f>SUM(D257:G257)</f>
        <v>5868352</v>
      </c>
      <c r="D257" s="167">
        <f>'[14]6.3.3.'!$H$2887</f>
        <v>0</v>
      </c>
      <c r="E257" s="167">
        <f>'[14]6.3.3.'!$I$2887</f>
        <v>3786576</v>
      </c>
      <c r="F257" s="167">
        <f>'[14]6.3.3.'!$J$2887</f>
        <v>2081776</v>
      </c>
      <c r="G257" s="167">
        <v>0</v>
      </c>
      <c r="H257" s="167">
        <f>'[14]6.3.3.'!$L$2887</f>
        <v>0</v>
      </c>
      <c r="I257" s="167"/>
      <c r="J257" s="167">
        <f>'[14]6.3.3.'!$M$2887</f>
        <v>5868352</v>
      </c>
      <c r="K257" s="53"/>
    </row>
    <row r="258" spans="1:11" s="52" customFormat="1" ht="15" customHeight="1" x14ac:dyDescent="0.25">
      <c r="A258" s="163" t="s">
        <v>468</v>
      </c>
      <c r="B258" s="55" t="s">
        <v>19</v>
      </c>
      <c r="C258" s="167">
        <f>SUM(D258:G258)</f>
        <v>5476976</v>
      </c>
      <c r="D258" s="167">
        <f>'[14]6.3.3.'!$H$2907</f>
        <v>0</v>
      </c>
      <c r="E258" s="167">
        <f>'[14]6.3.3.'!$I$2907</f>
        <v>5476976</v>
      </c>
      <c r="F258" s="167">
        <f>'[14]6.3.3.'!$J$2907</f>
        <v>0</v>
      </c>
      <c r="G258" s="167">
        <v>0</v>
      </c>
      <c r="H258" s="167">
        <f>'[14]6.3.3.'!$L$2907</f>
        <v>0</v>
      </c>
      <c r="I258" s="167"/>
      <c r="J258" s="167">
        <f>'[14]6.3.3.'!$M$2907</f>
        <v>5476976</v>
      </c>
      <c r="K258" s="53"/>
    </row>
    <row r="259" spans="1:11" s="52" customFormat="1" ht="28.5" customHeight="1" x14ac:dyDescent="0.25">
      <c r="A259" s="170" t="s">
        <v>469</v>
      </c>
      <c r="B259" s="171" t="s">
        <v>470</v>
      </c>
      <c r="C259" s="169">
        <f>SUM(C260:C261)</f>
        <v>3000707</v>
      </c>
      <c r="D259" s="169">
        <f t="shared" ref="D259:J259" si="164">SUM(D260:D261)</f>
        <v>940000</v>
      </c>
      <c r="E259" s="169">
        <f t="shared" si="164"/>
        <v>1558138</v>
      </c>
      <c r="F259" s="169">
        <f t="shared" si="164"/>
        <v>502569</v>
      </c>
      <c r="G259" s="169">
        <f t="shared" si="164"/>
        <v>0</v>
      </c>
      <c r="H259" s="169">
        <f t="shared" si="164"/>
        <v>940000</v>
      </c>
      <c r="I259" s="169">
        <f t="shared" si="164"/>
        <v>0</v>
      </c>
      <c r="J259" s="169">
        <f t="shared" si="164"/>
        <v>2060707</v>
      </c>
      <c r="K259" s="53"/>
    </row>
    <row r="260" spans="1:11" s="52" customFormat="1" ht="15" customHeight="1" x14ac:dyDescent="0.25">
      <c r="A260" s="163" t="s">
        <v>471</v>
      </c>
      <c r="B260" s="55" t="s">
        <v>17</v>
      </c>
      <c r="C260" s="167">
        <f>SUM(D260:G260)</f>
        <v>940000</v>
      </c>
      <c r="D260" s="167">
        <f>'[14]6.3.3.'!$H$2931</f>
        <v>940000</v>
      </c>
      <c r="E260" s="167">
        <f>'[14]6.3.3.'!$I$2931</f>
        <v>0</v>
      </c>
      <c r="F260" s="167">
        <f>'[14]6.3.3.'!$J$2931</f>
        <v>0</v>
      </c>
      <c r="G260" s="167">
        <v>0</v>
      </c>
      <c r="H260" s="167">
        <f>'[14]6.3.3.'!$L$2931</f>
        <v>940000</v>
      </c>
      <c r="I260" s="167"/>
      <c r="J260" s="167">
        <f>'[14]6.3.3.'!$M$2931</f>
        <v>0</v>
      </c>
      <c r="K260" s="53"/>
    </row>
    <row r="261" spans="1:11" s="52" customFormat="1" ht="15" customHeight="1" x14ac:dyDescent="0.25">
      <c r="A261" s="163" t="s">
        <v>472</v>
      </c>
      <c r="B261" s="55" t="s">
        <v>19</v>
      </c>
      <c r="C261" s="167">
        <f>SUM(D261:G261)</f>
        <v>2060707</v>
      </c>
      <c r="D261" s="167">
        <f>'[14]6.3.3.'!$H$2939</f>
        <v>0</v>
      </c>
      <c r="E261" s="167">
        <f>'[14]6.3.3.'!$I$2939</f>
        <v>1558138</v>
      </c>
      <c r="F261" s="167">
        <f>'[14]6.3.3.'!$J$2939</f>
        <v>502569</v>
      </c>
      <c r="G261" s="167">
        <v>0</v>
      </c>
      <c r="H261" s="167">
        <f>'[14]6.3.3.'!$L$2939</f>
        <v>0</v>
      </c>
      <c r="I261" s="167"/>
      <c r="J261" s="167">
        <f>'[14]6.3.3.'!$M$2939</f>
        <v>2060707</v>
      </c>
      <c r="K261" s="53"/>
    </row>
    <row r="262" spans="1:11" s="52" customFormat="1" ht="22.5" customHeight="1" x14ac:dyDescent="0.25">
      <c r="A262" s="170" t="s">
        <v>473</v>
      </c>
      <c r="B262" s="171" t="s">
        <v>474</v>
      </c>
      <c r="C262" s="169">
        <f>SUM(C263:C264)</f>
        <v>6216902</v>
      </c>
      <c r="D262" s="169">
        <f t="shared" ref="D262:J262" si="165">SUM(D263:D264)</f>
        <v>3109664</v>
      </c>
      <c r="E262" s="169">
        <f t="shared" si="165"/>
        <v>3107238</v>
      </c>
      <c r="F262" s="169">
        <f t="shared" si="165"/>
        <v>0</v>
      </c>
      <c r="G262" s="169">
        <f t="shared" si="165"/>
        <v>0</v>
      </c>
      <c r="H262" s="169">
        <f t="shared" si="165"/>
        <v>2622464</v>
      </c>
      <c r="I262" s="169">
        <f t="shared" si="165"/>
        <v>0</v>
      </c>
      <c r="J262" s="169">
        <f t="shared" si="165"/>
        <v>3594438</v>
      </c>
      <c r="K262" s="53"/>
    </row>
    <row r="263" spans="1:11" s="52" customFormat="1" ht="15" customHeight="1" x14ac:dyDescent="0.25">
      <c r="A263" s="163" t="s">
        <v>475</v>
      </c>
      <c r="B263" s="55" t="s">
        <v>17</v>
      </c>
      <c r="C263" s="167">
        <f>SUM(D263:G263)</f>
        <v>2435988</v>
      </c>
      <c r="D263" s="167">
        <f>'[14]6.3.3.'!$H$2964</f>
        <v>798388</v>
      </c>
      <c r="E263" s="167">
        <f>'[14]6.3.3.'!$I$2964</f>
        <v>1637600</v>
      </c>
      <c r="F263" s="167">
        <v>0</v>
      </c>
      <c r="G263" s="167">
        <v>0</v>
      </c>
      <c r="H263" s="167">
        <f>'[14]6.3.3.'!$L$2964</f>
        <v>311188</v>
      </c>
      <c r="I263" s="167"/>
      <c r="J263" s="167">
        <f>'[14]6.3.3.'!$M$2964</f>
        <v>2124800</v>
      </c>
      <c r="K263" s="53"/>
    </row>
    <row r="264" spans="1:11" s="52" customFormat="1" ht="15" customHeight="1" x14ac:dyDescent="0.25">
      <c r="A264" s="163" t="s">
        <v>476</v>
      </c>
      <c r="B264" s="55" t="s">
        <v>19</v>
      </c>
      <c r="C264" s="167">
        <f>SUM(D264:G264)</f>
        <v>3780914</v>
      </c>
      <c r="D264" s="167">
        <f>'[14]6.3.3.'!$H$2975</f>
        <v>2311276</v>
      </c>
      <c r="E264" s="167">
        <f>'[14]6.3.3.'!$I$2975</f>
        <v>1469638</v>
      </c>
      <c r="F264" s="167">
        <v>0</v>
      </c>
      <c r="G264" s="167">
        <v>0</v>
      </c>
      <c r="H264" s="167">
        <f>'[14]6.3.3.'!$L$2975</f>
        <v>2311276</v>
      </c>
      <c r="I264" s="167"/>
      <c r="J264" s="167">
        <f>'[14]6.3.3.'!$M$2975</f>
        <v>1469638</v>
      </c>
      <c r="K264" s="53"/>
    </row>
    <row r="265" spans="1:11" s="52" customFormat="1" ht="47.25" customHeight="1" x14ac:dyDescent="0.25">
      <c r="A265" s="170" t="s">
        <v>477</v>
      </c>
      <c r="B265" s="171" t="s">
        <v>478</v>
      </c>
      <c r="C265" s="169">
        <f>SUM(C266:C267)</f>
        <v>5045311</v>
      </c>
      <c r="D265" s="169">
        <f t="shared" ref="D265:J265" si="166">SUM(D266:D267)</f>
        <v>0</v>
      </c>
      <c r="E265" s="169">
        <f t="shared" si="166"/>
        <v>3187697</v>
      </c>
      <c r="F265" s="169">
        <f t="shared" si="166"/>
        <v>1857614</v>
      </c>
      <c r="G265" s="169">
        <f t="shared" si="166"/>
        <v>0</v>
      </c>
      <c r="H265" s="169">
        <f t="shared" si="166"/>
        <v>0</v>
      </c>
      <c r="I265" s="169">
        <f t="shared" si="166"/>
        <v>0</v>
      </c>
      <c r="J265" s="169">
        <f t="shared" si="166"/>
        <v>5045311</v>
      </c>
      <c r="K265" s="53"/>
    </row>
    <row r="266" spans="1:11" s="52" customFormat="1" ht="15" customHeight="1" x14ac:dyDescent="0.25">
      <c r="A266" s="163" t="s">
        <v>479</v>
      </c>
      <c r="B266" s="55" t="s">
        <v>17</v>
      </c>
      <c r="C266" s="167">
        <f>SUM(D266:G266)</f>
        <v>2706004</v>
      </c>
      <c r="D266" s="167">
        <f>'[14]6.3.3.'!$H$3004</f>
        <v>0</v>
      </c>
      <c r="E266" s="167">
        <f>'[14]6.3.3.'!$I$3004</f>
        <v>848390</v>
      </c>
      <c r="F266" s="167">
        <f>'[14]6.3.3.'!$J$3004</f>
        <v>1857614</v>
      </c>
      <c r="G266" s="167">
        <v>0</v>
      </c>
      <c r="H266" s="167">
        <f>'[14]6.3.3.'!$L$3004</f>
        <v>0</v>
      </c>
      <c r="I266" s="167"/>
      <c r="J266" s="167">
        <f>'[14]6.3.3.'!$M$3004</f>
        <v>2706004</v>
      </c>
      <c r="K266" s="53"/>
    </row>
    <row r="267" spans="1:11" s="52" customFormat="1" ht="15" customHeight="1" x14ac:dyDescent="0.25">
      <c r="A267" s="163" t="s">
        <v>480</v>
      </c>
      <c r="B267" s="55" t="s">
        <v>19</v>
      </c>
      <c r="C267" s="167">
        <f>SUM(D267:G267)</f>
        <v>2339307</v>
      </c>
      <c r="D267" s="167">
        <f>'[14]6.3.3.'!$H$3023</f>
        <v>0</v>
      </c>
      <c r="E267" s="167">
        <f>'[14]6.3.3.'!$I$3023</f>
        <v>2339307</v>
      </c>
      <c r="F267" s="167">
        <f>'[14]6.3.3.'!$J$3023</f>
        <v>0</v>
      </c>
      <c r="G267" s="167">
        <v>0</v>
      </c>
      <c r="H267" s="167">
        <f>'[14]6.3.3.'!$L$3023</f>
        <v>0</v>
      </c>
      <c r="I267" s="167"/>
      <c r="J267" s="167">
        <f>'[14]6.3.3.'!$M$3023</f>
        <v>2339307</v>
      </c>
      <c r="K267" s="53"/>
    </row>
    <row r="268" spans="1:11" s="52" customFormat="1" ht="30.75" customHeight="1" x14ac:dyDescent="0.25">
      <c r="A268" s="170" t="s">
        <v>481</v>
      </c>
      <c r="B268" s="171" t="s">
        <v>484</v>
      </c>
      <c r="C268" s="169">
        <f>SUM(C269:C270)</f>
        <v>2951370</v>
      </c>
      <c r="D268" s="169">
        <f t="shared" ref="D268:J268" si="167">SUM(D269:D270)</f>
        <v>279038</v>
      </c>
      <c r="E268" s="169">
        <f t="shared" si="167"/>
        <v>1931994</v>
      </c>
      <c r="F268" s="169">
        <f t="shared" si="167"/>
        <v>740338</v>
      </c>
      <c r="G268" s="169">
        <f t="shared" si="167"/>
        <v>0</v>
      </c>
      <c r="H268" s="169">
        <f t="shared" si="167"/>
        <v>0</v>
      </c>
      <c r="I268" s="169">
        <f t="shared" si="167"/>
        <v>0</v>
      </c>
      <c r="J268" s="169">
        <f t="shared" si="167"/>
        <v>2951370</v>
      </c>
      <c r="K268" s="53"/>
    </row>
    <row r="269" spans="1:11" s="52" customFormat="1" ht="15" customHeight="1" x14ac:dyDescent="0.25">
      <c r="A269" s="163" t="s">
        <v>482</v>
      </c>
      <c r="B269" s="55" t="s">
        <v>17</v>
      </c>
      <c r="C269" s="167">
        <f>SUM(D269:G269)</f>
        <v>1914701</v>
      </c>
      <c r="D269" s="167">
        <f>'[14]6.3.3.'!$H$3044</f>
        <v>279038</v>
      </c>
      <c r="E269" s="167">
        <f>'[14]6.3.3.'!$I$3044</f>
        <v>895325</v>
      </c>
      <c r="F269" s="167">
        <f>'[14]6.3.3.'!$J$3044</f>
        <v>740338</v>
      </c>
      <c r="G269" s="167">
        <v>0</v>
      </c>
      <c r="H269" s="167">
        <f>'[14]6.3.3.'!$L$3044</f>
        <v>0</v>
      </c>
      <c r="I269" s="167"/>
      <c r="J269" s="167">
        <f>'[14]6.3.3.'!$M$3044</f>
        <v>1914701</v>
      </c>
      <c r="K269" s="53"/>
    </row>
    <row r="270" spans="1:11" s="52" customFormat="1" ht="15" customHeight="1" x14ac:dyDescent="0.25">
      <c r="A270" s="163" t="s">
        <v>483</v>
      </c>
      <c r="B270" s="55" t="s">
        <v>19</v>
      </c>
      <c r="C270" s="167">
        <f>SUM(D270:G270)</f>
        <v>1036669</v>
      </c>
      <c r="D270" s="167">
        <f>'[14]6.3.3.'!$H$3058</f>
        <v>0</v>
      </c>
      <c r="E270" s="167">
        <f>'[14]6.3.3.'!$I$3058</f>
        <v>1036669</v>
      </c>
      <c r="F270" s="167">
        <f>'[14]6.3.3.'!$J$3058</f>
        <v>0</v>
      </c>
      <c r="G270" s="167">
        <v>0</v>
      </c>
      <c r="H270" s="167">
        <f>'[14]6.3.3.'!$L$3058</f>
        <v>0</v>
      </c>
      <c r="I270" s="167"/>
      <c r="J270" s="167">
        <f>'[14]6.3.3.'!$M$3058</f>
        <v>1036669</v>
      </c>
      <c r="K270" s="53"/>
    </row>
    <row r="271" spans="1:11" s="52" customFormat="1" ht="48.75" customHeight="1" x14ac:dyDescent="0.25">
      <c r="A271" s="170" t="s">
        <v>485</v>
      </c>
      <c r="B271" s="171" t="s">
        <v>488</v>
      </c>
      <c r="C271" s="169">
        <f>SUM(C272:C273)</f>
        <v>3482169</v>
      </c>
      <c r="D271" s="169">
        <f>SUM(D272:D273)</f>
        <v>0</v>
      </c>
      <c r="E271" s="169">
        <f t="shared" ref="E271:I271" si="168">SUM(E272:E273)</f>
        <v>2967769</v>
      </c>
      <c r="F271" s="169">
        <f t="shared" si="168"/>
        <v>514400</v>
      </c>
      <c r="G271" s="169">
        <f t="shared" si="168"/>
        <v>0</v>
      </c>
      <c r="H271" s="169">
        <f t="shared" si="168"/>
        <v>0</v>
      </c>
      <c r="I271" s="169">
        <f t="shared" si="168"/>
        <v>0</v>
      </c>
      <c r="J271" s="169">
        <f>SUM(J272:J273)</f>
        <v>3482169</v>
      </c>
      <c r="K271" s="53"/>
    </row>
    <row r="272" spans="1:11" s="52" customFormat="1" ht="15" customHeight="1" x14ac:dyDescent="0.25">
      <c r="A272" s="163" t="s">
        <v>486</v>
      </c>
      <c r="B272" s="55" t="s">
        <v>17</v>
      </c>
      <c r="C272" s="167">
        <f>SUM(D272:G272)</f>
        <v>514400</v>
      </c>
      <c r="D272" s="167">
        <f>'[14]6.3.3.'!$H$3077</f>
        <v>0</v>
      </c>
      <c r="E272" s="167">
        <f>'[14]6.3.3.'!$I$3077</f>
        <v>0</v>
      </c>
      <c r="F272" s="167">
        <f>'[14]6.3.3.'!$J$3077</f>
        <v>514400</v>
      </c>
      <c r="G272" s="167">
        <v>0</v>
      </c>
      <c r="H272" s="167">
        <f>'[14]6.3.3.'!$L$3077</f>
        <v>0</v>
      </c>
      <c r="I272" s="167"/>
      <c r="J272" s="167">
        <f>'[14]6.3.3.'!$M$3077</f>
        <v>514400</v>
      </c>
      <c r="K272" s="53"/>
    </row>
    <row r="273" spans="1:83" s="52" customFormat="1" ht="15" customHeight="1" x14ac:dyDescent="0.25">
      <c r="A273" s="163" t="s">
        <v>487</v>
      </c>
      <c r="B273" s="55" t="s">
        <v>19</v>
      </c>
      <c r="C273" s="167">
        <f>SUM(D273:G273)</f>
        <v>2967769</v>
      </c>
      <c r="D273" s="167">
        <f>'[14]6.3.3.'!$H$3085</f>
        <v>0</v>
      </c>
      <c r="E273" s="167">
        <f>'[14]6.3.3.'!$I$3085</f>
        <v>2967769</v>
      </c>
      <c r="F273" s="167">
        <f>'[14]6.3.3.'!$J$3085</f>
        <v>0</v>
      </c>
      <c r="G273" s="167">
        <v>0</v>
      </c>
      <c r="H273" s="167">
        <f>'[14]6.3.3.'!$L$3085</f>
        <v>0</v>
      </c>
      <c r="I273" s="167"/>
      <c r="J273" s="167">
        <f>'[14]6.3.3.'!$M$3085</f>
        <v>2967769</v>
      </c>
      <c r="K273" s="53"/>
    </row>
    <row r="274" spans="1:83" s="52" customFormat="1" ht="39" customHeight="1" x14ac:dyDescent="0.25">
      <c r="A274" s="170" t="s">
        <v>489</v>
      </c>
      <c r="B274" s="171" t="s">
        <v>492</v>
      </c>
      <c r="C274" s="169">
        <f>SUM(C275:C276)</f>
        <v>5888807</v>
      </c>
      <c r="D274" s="169">
        <f t="shared" ref="D274:J274" si="169">SUM(D275:D276)</f>
        <v>0</v>
      </c>
      <c r="E274" s="169">
        <f t="shared" si="169"/>
        <v>4852669</v>
      </c>
      <c r="F274" s="169">
        <f t="shared" si="169"/>
        <v>1036138</v>
      </c>
      <c r="G274" s="169">
        <f t="shared" si="169"/>
        <v>0</v>
      </c>
      <c r="H274" s="169">
        <f t="shared" si="169"/>
        <v>0</v>
      </c>
      <c r="I274" s="169">
        <f t="shared" si="169"/>
        <v>0</v>
      </c>
      <c r="J274" s="169">
        <f t="shared" si="169"/>
        <v>5888807</v>
      </c>
      <c r="K274" s="53"/>
    </row>
    <row r="275" spans="1:83" s="52" customFormat="1" ht="15" customHeight="1" x14ac:dyDescent="0.25">
      <c r="A275" s="163" t="s">
        <v>490</v>
      </c>
      <c r="B275" s="55" t="s">
        <v>17</v>
      </c>
      <c r="C275" s="167">
        <f>SUM(D275:G275)</f>
        <v>188000</v>
      </c>
      <c r="D275" s="167">
        <f>'[14]6.3.3.'!$H$3104</f>
        <v>0</v>
      </c>
      <c r="E275" s="167">
        <f>'[14]6.3.3.'!$I$3104</f>
        <v>188000</v>
      </c>
      <c r="F275" s="167">
        <f>'[14]6.3.3.'!$J$3104</f>
        <v>0</v>
      </c>
      <c r="G275" s="167">
        <v>0</v>
      </c>
      <c r="H275" s="167">
        <f>'[14]6.3.3.'!$L$3104</f>
        <v>0</v>
      </c>
      <c r="I275" s="167"/>
      <c r="J275" s="167">
        <f>'[14]6.3.3.'!$M$3104</f>
        <v>188000</v>
      </c>
      <c r="K275" s="53"/>
    </row>
    <row r="276" spans="1:83" s="52" customFormat="1" ht="15" customHeight="1" x14ac:dyDescent="0.25">
      <c r="A276" s="163" t="s">
        <v>491</v>
      </c>
      <c r="B276" s="55" t="s">
        <v>19</v>
      </c>
      <c r="C276" s="167">
        <f>SUM(D276:G276)</f>
        <v>5700807</v>
      </c>
      <c r="D276" s="167">
        <f>'[14]6.3.3.'!$H$3112</f>
        <v>0</v>
      </c>
      <c r="E276" s="167">
        <f>'[14]6.3.3.'!$I$3112</f>
        <v>4664669</v>
      </c>
      <c r="F276" s="167">
        <f>'[14]6.3.3.'!$J$3112</f>
        <v>1036138</v>
      </c>
      <c r="G276" s="167">
        <v>0</v>
      </c>
      <c r="H276" s="167">
        <f>'[14]6.3.3.'!$L$3112</f>
        <v>0</v>
      </c>
      <c r="I276" s="167"/>
      <c r="J276" s="167">
        <f>'[14]6.3.3.'!$M$3112</f>
        <v>5700807</v>
      </c>
      <c r="K276" s="53"/>
    </row>
    <row r="277" spans="1:83" s="52" customFormat="1" ht="31.5" customHeight="1" x14ac:dyDescent="0.25">
      <c r="A277" s="170" t="s">
        <v>493</v>
      </c>
      <c r="B277" s="171" t="s">
        <v>496</v>
      </c>
      <c r="C277" s="169">
        <f>SUM(C278:C279)</f>
        <v>2196282</v>
      </c>
      <c r="D277" s="169">
        <f t="shared" ref="D277:J277" si="170">SUM(D278:D279)</f>
        <v>1386207</v>
      </c>
      <c r="E277" s="169">
        <f t="shared" si="170"/>
        <v>810075</v>
      </c>
      <c r="F277" s="169">
        <f t="shared" si="170"/>
        <v>0</v>
      </c>
      <c r="G277" s="169">
        <f t="shared" si="170"/>
        <v>0</v>
      </c>
      <c r="H277" s="169">
        <f t="shared" si="170"/>
        <v>1386207</v>
      </c>
      <c r="I277" s="169">
        <f t="shared" si="170"/>
        <v>0</v>
      </c>
      <c r="J277" s="169">
        <f t="shared" si="170"/>
        <v>810075</v>
      </c>
      <c r="K277" s="53"/>
    </row>
    <row r="278" spans="1:83" s="52" customFormat="1" ht="15" customHeight="1" x14ac:dyDescent="0.25">
      <c r="A278" s="163" t="s">
        <v>494</v>
      </c>
      <c r="B278" s="55" t="s">
        <v>17</v>
      </c>
      <c r="C278" s="167">
        <f>SUM(D278:G278)</f>
        <v>470000</v>
      </c>
      <c r="D278" s="167">
        <f>'[15]7.3.3.'!$H$3137</f>
        <v>470000</v>
      </c>
      <c r="E278" s="167">
        <f>'[14]6.3.3.'!$I$3136</f>
        <v>0</v>
      </c>
      <c r="F278" s="167">
        <f>'[14]6.3.3.'!$J$3136</f>
        <v>0</v>
      </c>
      <c r="G278" s="167">
        <v>0</v>
      </c>
      <c r="H278" s="167">
        <f>'[14]6.3.3.'!$L$3136</f>
        <v>470000</v>
      </c>
      <c r="I278" s="167"/>
      <c r="J278" s="167">
        <v>0</v>
      </c>
      <c r="K278" s="53"/>
    </row>
    <row r="279" spans="1:83" s="52" customFormat="1" ht="15" customHeight="1" x14ac:dyDescent="0.25">
      <c r="A279" s="163" t="s">
        <v>495</v>
      </c>
      <c r="B279" s="55" t="s">
        <v>19</v>
      </c>
      <c r="C279" s="167">
        <f>SUM(D279:G279)</f>
        <v>1726282</v>
      </c>
      <c r="D279" s="167">
        <f>'[15]7.3.3.'!$H$3146</f>
        <v>916207</v>
      </c>
      <c r="E279" s="167">
        <f>'[15]7.3.3.'!$I$3146</f>
        <v>810075</v>
      </c>
      <c r="F279" s="167">
        <f>'[14]6.3.3.'!$J$3145</f>
        <v>0</v>
      </c>
      <c r="G279" s="167">
        <v>0</v>
      </c>
      <c r="H279" s="167">
        <f>'[15]7.3.3.'!$L$3146</f>
        <v>916207</v>
      </c>
      <c r="I279" s="167"/>
      <c r="J279" s="167">
        <f>'[15]7.3.3.'!$M$3146</f>
        <v>810075</v>
      </c>
      <c r="K279" s="53"/>
    </row>
    <row r="280" spans="1:83" s="52" customFormat="1" ht="77.25" customHeight="1" x14ac:dyDescent="0.25">
      <c r="A280" s="170" t="s">
        <v>497</v>
      </c>
      <c r="B280" s="171" t="s">
        <v>500</v>
      </c>
      <c r="C280" s="169">
        <f>SUM(C281:C282)</f>
        <v>5620924</v>
      </c>
      <c r="D280" s="169">
        <f t="shared" ref="D280:J280" si="171">SUM(D281:D282)</f>
        <v>0</v>
      </c>
      <c r="E280" s="169">
        <f t="shared" si="171"/>
        <v>0</v>
      </c>
      <c r="F280" s="169">
        <f t="shared" si="171"/>
        <v>5620924</v>
      </c>
      <c r="G280" s="169">
        <f t="shared" si="171"/>
        <v>0</v>
      </c>
      <c r="H280" s="169">
        <f t="shared" si="171"/>
        <v>0</v>
      </c>
      <c r="I280" s="169">
        <f t="shared" si="171"/>
        <v>0</v>
      </c>
      <c r="J280" s="169">
        <f t="shared" si="171"/>
        <v>5620924</v>
      </c>
      <c r="K280" s="53"/>
    </row>
    <row r="281" spans="1:83" s="52" customFormat="1" ht="15" customHeight="1" x14ac:dyDescent="0.25">
      <c r="A281" s="163" t="s">
        <v>498</v>
      </c>
      <c r="B281" s="55" t="s">
        <v>17</v>
      </c>
      <c r="C281" s="167">
        <f>SUM(D281:G281)</f>
        <v>3845755</v>
      </c>
      <c r="D281" s="167">
        <f>'[14]6.3.3.'!$H$3167</f>
        <v>0</v>
      </c>
      <c r="E281" s="167">
        <f>'[14]6.3.3.'!$I$3167</f>
        <v>0</v>
      </c>
      <c r="F281" s="167">
        <f>'[14]6.3.3.'!$J$3167</f>
        <v>3845755</v>
      </c>
      <c r="G281" s="167">
        <v>0</v>
      </c>
      <c r="H281" s="167">
        <f>'[14]6.3.3.'!$L$3167</f>
        <v>0</v>
      </c>
      <c r="I281" s="167"/>
      <c r="J281" s="167">
        <f>'[14]6.3.3.'!$M$3167</f>
        <v>3845755</v>
      </c>
      <c r="K281" s="53"/>
    </row>
    <row r="282" spans="1:83" s="52" customFormat="1" ht="15" customHeight="1" x14ac:dyDescent="0.25">
      <c r="A282" s="163" t="s">
        <v>499</v>
      </c>
      <c r="B282" s="55" t="s">
        <v>19</v>
      </c>
      <c r="C282" s="167">
        <f>SUM(D282:G282)</f>
        <v>1775169</v>
      </c>
      <c r="D282" s="167">
        <f>'[14]6.3.3.'!$H$3194</f>
        <v>0</v>
      </c>
      <c r="E282" s="167">
        <f>'[14]6.3.3.'!$I$3194</f>
        <v>0</v>
      </c>
      <c r="F282" s="167">
        <f>'[14]6.3.3.'!$J$3194</f>
        <v>1775169</v>
      </c>
      <c r="G282" s="167">
        <v>0</v>
      </c>
      <c r="H282" s="167">
        <f>'[14]6.3.3.'!$L$3194</f>
        <v>0</v>
      </c>
      <c r="I282" s="167"/>
      <c r="J282" s="167">
        <f>'[14]6.3.3.'!$M$3194</f>
        <v>1775169</v>
      </c>
      <c r="K282" s="53"/>
    </row>
    <row r="283" spans="1:83" s="52" customFormat="1" ht="15" customHeight="1" x14ac:dyDescent="0.25">
      <c r="A283" s="170" t="s">
        <v>501</v>
      </c>
      <c r="B283" s="171" t="s">
        <v>504</v>
      </c>
      <c r="C283" s="169">
        <f>SUM(C284:C285)</f>
        <v>7913321</v>
      </c>
      <c r="D283" s="169">
        <f t="shared" ref="D283:J283" si="172">SUM(D284:D285)</f>
        <v>5046852</v>
      </c>
      <c r="E283" s="169">
        <f t="shared" si="172"/>
        <v>2866469</v>
      </c>
      <c r="F283" s="169">
        <f t="shared" si="172"/>
        <v>0</v>
      </c>
      <c r="G283" s="169">
        <f t="shared" si="172"/>
        <v>0</v>
      </c>
      <c r="H283" s="169">
        <f t="shared" si="172"/>
        <v>3345952</v>
      </c>
      <c r="I283" s="169">
        <f t="shared" si="172"/>
        <v>0</v>
      </c>
      <c r="J283" s="169">
        <f t="shared" si="172"/>
        <v>4567369</v>
      </c>
      <c r="K283" s="53"/>
    </row>
    <row r="284" spans="1:83" s="52" customFormat="1" ht="15" customHeight="1" x14ac:dyDescent="0.25">
      <c r="A284" s="163" t="s">
        <v>502</v>
      </c>
      <c r="B284" s="55" t="s">
        <v>17</v>
      </c>
      <c r="C284" s="167">
        <f>SUM(D284:G284)</f>
        <v>2528871</v>
      </c>
      <c r="D284" s="167">
        <f>'[14]6.3.3.'!$H$3218</f>
        <v>1193852</v>
      </c>
      <c r="E284" s="167">
        <f>'[14]6.3.3.'!$I$3218</f>
        <v>1335019</v>
      </c>
      <c r="F284" s="167">
        <f>'[14]6.3.3.'!$J$3218</f>
        <v>0</v>
      </c>
      <c r="G284" s="167">
        <v>0</v>
      </c>
      <c r="H284" s="167">
        <f>'[14]6.3.3.'!$L$3218</f>
        <v>1193852</v>
      </c>
      <c r="I284" s="167"/>
      <c r="J284" s="167">
        <f>'[14]6.3.3.'!$M$3218</f>
        <v>1335019</v>
      </c>
      <c r="K284" s="53"/>
    </row>
    <row r="285" spans="1:83" s="52" customFormat="1" ht="15" customHeight="1" x14ac:dyDescent="0.25">
      <c r="A285" s="163" t="s">
        <v>503</v>
      </c>
      <c r="B285" s="55" t="s">
        <v>19</v>
      </c>
      <c r="C285" s="167">
        <f>SUM(D285:G285)</f>
        <v>5384450</v>
      </c>
      <c r="D285" s="167">
        <f>'[14]6.3.3.'!$H$3227</f>
        <v>3853000</v>
      </c>
      <c r="E285" s="167">
        <f>'[14]6.3.3.'!$I$3227</f>
        <v>1531450</v>
      </c>
      <c r="F285" s="167">
        <f>'[14]6.3.3.'!$J$3227</f>
        <v>0</v>
      </c>
      <c r="G285" s="167">
        <v>0</v>
      </c>
      <c r="H285" s="167">
        <f>'[14]6.3.3.'!$L$3227</f>
        <v>2152100</v>
      </c>
      <c r="I285" s="167"/>
      <c r="J285" s="167">
        <f>'[14]6.3.3.'!$M$3227</f>
        <v>3232350</v>
      </c>
      <c r="K285" s="53"/>
    </row>
    <row r="286" spans="1:83" s="48" customFormat="1" ht="25.9" customHeight="1" thickBot="1" x14ac:dyDescent="0.3">
      <c r="A286" s="159" t="s">
        <v>271</v>
      </c>
      <c r="B286" s="160" t="s">
        <v>359</v>
      </c>
      <c r="C286" s="161">
        <f t="shared" ref="C286:H286" si="173">SUM(C7,C10,C13,C16,C19,C22,C25,C28,C31,C34,C37,C40,C43,C46,C49,C52,C55,C58,C61,C64,C67,C70,C73,C76,C79,C82,C85,C88,C91,C94,C97,C100,C103,C106,C109,C112,C115,C118,C121,C124,C127,C130,C133,C136,C139,C142,C145,C148,C151,C154,C157,C160,C163,C166,C169,C172,C175,C178,C181,C184,C187,C190,C193,C196,C199,C202,C205,C208,C211,C214,C217,C220,C223,C226,C229,C232,C235,C238,C241,C244,C247,C250,C253,C256,C259,C262,C265,C268,C271,C274,C277,C280,C283)</f>
        <v>598969364.08000004</v>
      </c>
      <c r="D286" s="161">
        <f t="shared" si="173"/>
        <v>327327895.19999999</v>
      </c>
      <c r="E286" s="161">
        <f t="shared" si="173"/>
        <v>205061362.18000001</v>
      </c>
      <c r="F286" s="161">
        <f t="shared" si="173"/>
        <v>66580106.699999996</v>
      </c>
      <c r="G286" s="161">
        <f t="shared" si="173"/>
        <v>0</v>
      </c>
      <c r="H286" s="161">
        <f t="shared" si="173"/>
        <v>160033497.89941198</v>
      </c>
      <c r="I286" s="161">
        <f t="shared" ref="I286:J286" si="174">SUM(I7,I10,I13,I16,I19,I22,I25,I28,I31,I34,I37,I40,I43,I46,I49,I52,I55,I58,I61,I64,I67,I70,I73,I76,I79,I82,I85,I88,I91,I94,I97,I100,I103,I106,I109,I112,I115,I118,I121,I124,I127,I130,I133,I136,I139,I142,I145,I148,I151,I154,I157,I160,I163,I166,I169,I172,I175,I178,I181,I184,I187,I190,I193,I196,I199,I202,I205,I208,I211,I214,I217,I220,I223,I226,I229,I232,I235,I238,I241,I244,I247,I250,I253,I256,I259,I262,I265,I268,I271,I274,I277,I280,I283)</f>
        <v>0</v>
      </c>
      <c r="J286" s="161">
        <f t="shared" si="174"/>
        <v>438935866.18058807</v>
      </c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  <c r="BI286" s="49"/>
      <c r="BJ286" s="49"/>
      <c r="BK286" s="49"/>
      <c r="BL286" s="49"/>
      <c r="BM286" s="49"/>
      <c r="BN286" s="49"/>
      <c r="BO286" s="49"/>
      <c r="BP286" s="49"/>
      <c r="BQ286" s="49"/>
      <c r="BR286" s="49"/>
      <c r="BS286" s="49"/>
      <c r="BT286" s="49"/>
      <c r="BU286" s="49"/>
      <c r="BV286" s="49"/>
      <c r="BW286" s="49"/>
      <c r="BX286" s="49"/>
      <c r="BY286" s="49"/>
      <c r="BZ286" s="49"/>
      <c r="CA286" s="49"/>
      <c r="CB286" s="49"/>
      <c r="CC286" s="49"/>
      <c r="CD286" s="49"/>
      <c r="CE286" s="49"/>
    </row>
    <row r="287" spans="1:83" ht="16.5" thickBot="1" x14ac:dyDescent="0.25">
      <c r="B287" s="45" t="s">
        <v>336</v>
      </c>
      <c r="C287" s="50">
        <f t="shared" ref="C287:F288" si="175">SUM(C8,C11,C14,C17,C20,C23,C26,C29,C32,C35,C38,C41,C44,C47,C50,C53,C56,C59,C62,C65,C68,C71,C74,C77,C80,C83,C86,C89,C92,C95,C98,C101,C104,C107,C110,C113,C116,C119,C122,C125,C128,C131,C134,C137,C140,C143,C146,C149,C152,C155,C158,C161,C164,C167,C170,C173,C176,C179,C182,C185,C188,C191,C194,C197,C200,C203,C206,C209,C212,C215,C218,C221,C224,C227,C230,C233,C236,C239,C242,C245,C248,C251,C254,C257,C260,C263,C266,C269,C272,C275,C278,C281,C284)</f>
        <v>227550897.50000003</v>
      </c>
      <c r="D287" s="50">
        <f t="shared" si="175"/>
        <v>116238561.69999997</v>
      </c>
      <c r="E287" s="50">
        <f t="shared" si="175"/>
        <v>62792061.099999994</v>
      </c>
      <c r="F287" s="50">
        <f t="shared" si="175"/>
        <v>48520274.699999996</v>
      </c>
      <c r="G287" s="50">
        <f t="shared" ref="G287:J287" si="176">SUM(G8,G11,G14,G17,G20,G23,G26,G29,G32,G35,G38,G41,G44,G47,G50,G53,G56,G59,G62,G65,G68,G71,G74,G77,G80,G83,G86,G89,G92,G95,G98,G101,G104,G107,G110,G113,G116,G119,G122,G125,G128,G131,G134,G137,G140,G143,G146,G149,G152,G155,G158,G161,G164,G167,G170,G173,G176,G179,G182,G185,G188,G191,G194,G197,G200,G203,G206,G209,G212,G215,G218,G221,G224,G227,G230,G233,G236,G239,G242,G245,G248,G251,G254,G257,G260,G263,G266,G269,G272,G275,G278,G281,G284)</f>
        <v>0</v>
      </c>
      <c r="H287" s="50">
        <f t="shared" si="176"/>
        <v>66026546.399999999</v>
      </c>
      <c r="I287" s="50">
        <f t="shared" si="176"/>
        <v>0</v>
      </c>
      <c r="J287" s="50">
        <f t="shared" si="176"/>
        <v>161524351.09999999</v>
      </c>
      <c r="K287" s="43"/>
    </row>
    <row r="288" spans="1:83" ht="16.5" thickBot="1" x14ac:dyDescent="0.25">
      <c r="B288" s="45" t="s">
        <v>337</v>
      </c>
      <c r="C288" s="50">
        <f t="shared" si="175"/>
        <v>371418466.58000004</v>
      </c>
      <c r="D288" s="50">
        <f t="shared" si="175"/>
        <v>211089333.5</v>
      </c>
      <c r="E288" s="50">
        <f t="shared" si="175"/>
        <v>142269301.07999998</v>
      </c>
      <c r="F288" s="50">
        <f t="shared" si="175"/>
        <v>18059832</v>
      </c>
      <c r="G288" s="50">
        <f t="shared" ref="G288:J288" si="177">SUM(G9,G12,G15,G18,G21,G24,G27,G30,G33,G36,G39,G42,G45,G48,G51,G54,G57,G60,G63,G66,G69,G72,G75,G78,G81,G84,G87,G90,G93,G96,G99,G102,G105,G108,G111,G114,G117,G120,G123,G126,G129,G132,G135,G138,G141,G144,G147,G150,G153,G156,G159,G162,G165,G168,G171,G174,G177,G180,G183,G186,G189,G192,G195,G198,G201,G204,G207,G210,G213,G216,G219,G222,G225,G228,G231,G234,G237,G240,G243,G246,G249,G252,G255,G258,G261,G264,G267,G270,G273,G276,G279,G282,G285)</f>
        <v>0</v>
      </c>
      <c r="H288" s="50">
        <f t="shared" si="177"/>
        <v>94006951.499412</v>
      </c>
      <c r="I288" s="50">
        <f t="shared" si="177"/>
        <v>0</v>
      </c>
      <c r="J288" s="50">
        <f t="shared" si="177"/>
        <v>277411515.08058798</v>
      </c>
      <c r="K288" s="43"/>
    </row>
    <row r="289" spans="1:11" x14ac:dyDescent="0.2">
      <c r="K289" s="43"/>
    </row>
    <row r="290" spans="1:11" x14ac:dyDescent="0.2">
      <c r="C290" s="47"/>
      <c r="K290" s="43"/>
    </row>
    <row r="291" spans="1:11" x14ac:dyDescent="0.2">
      <c r="K291" s="43"/>
    </row>
    <row r="292" spans="1:11" x14ac:dyDescent="0.2">
      <c r="H292" s="47" t="s">
        <v>2</v>
      </c>
      <c r="K292" s="43"/>
    </row>
    <row r="293" spans="1:11" x14ac:dyDescent="0.2">
      <c r="K293" s="43"/>
    </row>
    <row r="294" spans="1:11" x14ac:dyDescent="0.2">
      <c r="K294" s="43"/>
    </row>
    <row r="295" spans="1:11" ht="15.75" x14ac:dyDescent="0.25">
      <c r="C295" s="46"/>
      <c r="D295" s="46"/>
      <c r="E295" s="46"/>
      <c r="F295" s="46"/>
      <c r="G295" s="46"/>
      <c r="H295" s="46"/>
      <c r="I295" s="46"/>
      <c r="J295" s="46"/>
      <c r="K295" s="43"/>
    </row>
    <row r="296" spans="1:11" ht="15.75" x14ac:dyDescent="0.25">
      <c r="C296" s="46"/>
      <c r="D296" s="46"/>
      <c r="E296" s="46"/>
      <c r="F296" s="46"/>
      <c r="G296" s="46"/>
      <c r="H296" s="46"/>
      <c r="I296" s="46"/>
      <c r="J296" s="46"/>
      <c r="K296" s="43"/>
    </row>
    <row r="297" spans="1:11" x14ac:dyDescent="0.2">
      <c r="K297" s="43"/>
    </row>
    <row r="298" spans="1:11" x14ac:dyDescent="0.2">
      <c r="K298" s="43"/>
    </row>
    <row r="299" spans="1:11" x14ac:dyDescent="0.2">
      <c r="K299" s="43"/>
    </row>
    <row r="300" spans="1:11" x14ac:dyDescent="0.2">
      <c r="K300" s="43"/>
    </row>
    <row r="301" spans="1:11" x14ac:dyDescent="0.2">
      <c r="A301" s="43"/>
      <c r="B301" s="43"/>
      <c r="K301" s="43"/>
    </row>
    <row r="302" spans="1:11" x14ac:dyDescent="0.2">
      <c r="A302" s="43"/>
      <c r="B302" s="43"/>
      <c r="K302" s="43"/>
    </row>
    <row r="303" spans="1:11" x14ac:dyDescent="0.2">
      <c r="A303" s="43"/>
      <c r="B303" s="43"/>
      <c r="K303" s="43"/>
    </row>
    <row r="304" spans="1:11" x14ac:dyDescent="0.2">
      <c r="A304" s="43"/>
      <c r="B304" s="43"/>
      <c r="K304" s="43"/>
    </row>
    <row r="305" spans="1:11" x14ac:dyDescent="0.2">
      <c r="A305" s="43"/>
      <c r="B305" s="43"/>
      <c r="K305" s="43"/>
    </row>
    <row r="306" spans="1:11" x14ac:dyDescent="0.2">
      <c r="A306" s="43"/>
      <c r="B306" s="43"/>
      <c r="K306" s="43"/>
    </row>
    <row r="307" spans="1:11" x14ac:dyDescent="0.2">
      <c r="A307" s="43"/>
      <c r="B307" s="43"/>
      <c r="K307" s="43"/>
    </row>
    <row r="308" spans="1:11" x14ac:dyDescent="0.2">
      <c r="A308" s="43"/>
      <c r="B308" s="43"/>
      <c r="K308" s="43"/>
    </row>
    <row r="309" spans="1:11" x14ac:dyDescent="0.2">
      <c r="A309" s="43"/>
      <c r="B309" s="43"/>
      <c r="K309" s="43"/>
    </row>
    <row r="310" spans="1:11" x14ac:dyDescent="0.2">
      <c r="A310" s="43"/>
      <c r="B310" s="43"/>
      <c r="K310" s="43"/>
    </row>
    <row r="311" spans="1:11" x14ac:dyDescent="0.2">
      <c r="A311" s="43"/>
      <c r="B311" s="43"/>
      <c r="K311" s="43"/>
    </row>
    <row r="312" spans="1:11" x14ac:dyDescent="0.2">
      <c r="A312" s="43"/>
      <c r="B312" s="43"/>
      <c r="K312" s="43"/>
    </row>
    <row r="313" spans="1:11" x14ac:dyDescent="0.2">
      <c r="A313" s="43"/>
      <c r="B313" s="43"/>
      <c r="K313" s="43"/>
    </row>
    <row r="314" spans="1:11" x14ac:dyDescent="0.2">
      <c r="A314" s="43"/>
      <c r="B314" s="43"/>
      <c r="K314" s="43"/>
    </row>
    <row r="315" spans="1:11" x14ac:dyDescent="0.2">
      <c r="A315" s="43"/>
      <c r="B315" s="43"/>
      <c r="K315" s="43"/>
    </row>
    <row r="316" spans="1:11" x14ac:dyDescent="0.2">
      <c r="A316" s="43"/>
      <c r="B316" s="43"/>
      <c r="K316" s="43"/>
    </row>
    <row r="317" spans="1:11" x14ac:dyDescent="0.2">
      <c r="A317" s="43"/>
      <c r="B317" s="43"/>
      <c r="K317" s="43"/>
    </row>
    <row r="318" spans="1:11" x14ac:dyDescent="0.2">
      <c r="A318" s="43"/>
      <c r="B318" s="43"/>
      <c r="K318" s="43"/>
    </row>
    <row r="319" spans="1:11" x14ac:dyDescent="0.2">
      <c r="A319" s="43"/>
      <c r="B319" s="43"/>
      <c r="K319" s="43"/>
    </row>
    <row r="320" spans="1:11" x14ac:dyDescent="0.2">
      <c r="A320" s="43"/>
      <c r="B320" s="43"/>
      <c r="K320" s="43"/>
    </row>
    <row r="321" spans="1:11" x14ac:dyDescent="0.2">
      <c r="A321" s="43"/>
      <c r="B321" s="43"/>
      <c r="K321" s="43"/>
    </row>
    <row r="322" spans="1:11" x14ac:dyDescent="0.2">
      <c r="A322" s="43"/>
      <c r="B322" s="43"/>
      <c r="K322" s="43"/>
    </row>
    <row r="323" spans="1:11" x14ac:dyDescent="0.2">
      <c r="A323" s="43"/>
      <c r="B323" s="43"/>
      <c r="K323" s="43"/>
    </row>
    <row r="324" spans="1:11" x14ac:dyDescent="0.2">
      <c r="A324" s="43"/>
      <c r="B324" s="43"/>
      <c r="K324" s="43"/>
    </row>
    <row r="325" spans="1:11" x14ac:dyDescent="0.2">
      <c r="A325" s="43"/>
      <c r="B325" s="43"/>
      <c r="K325" s="43"/>
    </row>
    <row r="326" spans="1:11" x14ac:dyDescent="0.2">
      <c r="A326" s="43"/>
      <c r="B326" s="43"/>
      <c r="K326" s="43"/>
    </row>
    <row r="327" spans="1:11" x14ac:dyDescent="0.2">
      <c r="A327" s="43"/>
      <c r="B327" s="43"/>
      <c r="K327" s="43"/>
    </row>
    <row r="328" spans="1:11" x14ac:dyDescent="0.2">
      <c r="A328" s="43"/>
      <c r="B328" s="43"/>
      <c r="K328" s="43"/>
    </row>
    <row r="329" spans="1:11" x14ac:dyDescent="0.2">
      <c r="A329" s="43"/>
      <c r="B329" s="43"/>
      <c r="K329" s="43"/>
    </row>
    <row r="330" spans="1:11" x14ac:dyDescent="0.2">
      <c r="A330" s="43"/>
      <c r="B330" s="43"/>
      <c r="K330" s="43"/>
    </row>
    <row r="331" spans="1:11" x14ac:dyDescent="0.2">
      <c r="A331" s="43"/>
      <c r="B331" s="43"/>
      <c r="K331" s="43"/>
    </row>
    <row r="332" spans="1:11" x14ac:dyDescent="0.2">
      <c r="A332" s="43"/>
      <c r="B332" s="43"/>
      <c r="K332" s="43"/>
    </row>
    <row r="333" spans="1:11" x14ac:dyDescent="0.2">
      <c r="A333" s="43"/>
      <c r="B333" s="43"/>
      <c r="K333" s="43"/>
    </row>
    <row r="334" spans="1:11" x14ac:dyDescent="0.2">
      <c r="A334" s="43"/>
      <c r="B334" s="43"/>
      <c r="K334" s="43"/>
    </row>
    <row r="335" spans="1:11" x14ac:dyDescent="0.2">
      <c r="A335" s="43"/>
      <c r="B335" s="43"/>
      <c r="K335" s="43"/>
    </row>
    <row r="336" spans="1:11" x14ac:dyDescent="0.2">
      <c r="A336" s="43"/>
      <c r="B336" s="43"/>
      <c r="K336" s="43"/>
    </row>
    <row r="337" spans="1:11" x14ac:dyDescent="0.2">
      <c r="A337" s="43"/>
      <c r="B337" s="43"/>
      <c r="K337" s="43"/>
    </row>
    <row r="338" spans="1:11" x14ac:dyDescent="0.2">
      <c r="A338" s="43"/>
      <c r="B338" s="43"/>
      <c r="K338" s="43"/>
    </row>
    <row r="339" spans="1:11" x14ac:dyDescent="0.2">
      <c r="A339" s="43"/>
      <c r="B339" s="43"/>
      <c r="K339" s="43"/>
    </row>
    <row r="340" spans="1:11" x14ac:dyDescent="0.2">
      <c r="A340" s="43"/>
      <c r="B340" s="43"/>
      <c r="K340" s="43"/>
    </row>
    <row r="341" spans="1:11" x14ac:dyDescent="0.2">
      <c r="A341" s="43"/>
      <c r="B341" s="43"/>
      <c r="K341" s="43"/>
    </row>
    <row r="342" spans="1:11" x14ac:dyDescent="0.2">
      <c r="A342" s="43"/>
      <c r="B342" s="43"/>
      <c r="K342" s="43"/>
    </row>
    <row r="343" spans="1:11" x14ac:dyDescent="0.2">
      <c r="A343" s="43"/>
      <c r="B343" s="43"/>
      <c r="K343" s="43"/>
    </row>
    <row r="344" spans="1:11" x14ac:dyDescent="0.2">
      <c r="A344" s="43"/>
      <c r="B344" s="43"/>
      <c r="K344" s="43"/>
    </row>
    <row r="345" spans="1:11" x14ac:dyDescent="0.2">
      <c r="A345" s="43"/>
      <c r="B345" s="43"/>
      <c r="K345" s="43"/>
    </row>
    <row r="346" spans="1:11" x14ac:dyDescent="0.2">
      <c r="A346" s="43"/>
      <c r="B346" s="43"/>
      <c r="K346" s="43"/>
    </row>
  </sheetData>
  <mergeCells count="6">
    <mergeCell ref="H5:J5"/>
    <mergeCell ref="B1:D1"/>
    <mergeCell ref="C2:D2"/>
    <mergeCell ref="A5:A6"/>
    <mergeCell ref="B5:B6"/>
    <mergeCell ref="C5:C6"/>
  </mergeCells>
  <printOptions horizontalCentered="1"/>
  <pageMargins left="0.74803149606299213" right="0.74803149606299213" top="0.62" bottom="0.56000000000000005" header="0.28000000000000003" footer="0.31"/>
  <pageSetup paperSize="9" scale="85" fitToHeight="0" orientation="landscape" horizontalDpi="240" verticalDpi="144" r:id="rId1"/>
  <headerFooter alignWithMargins="0">
    <oddFooter>&amp;CPage  &amp;P/&amp;N</oddFooter>
  </headerFooter>
  <rowBreaks count="2" manualBreakCount="2">
    <brk id="33" max="8" man="1"/>
    <brk id="7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FFCC"/>
  </sheetPr>
  <dimension ref="A1:AL117"/>
  <sheetViews>
    <sheetView zoomScale="93" zoomScaleNormal="93" workbookViewId="0">
      <selection activeCell="K13" sqref="K13"/>
    </sheetView>
  </sheetViews>
  <sheetFormatPr defaultRowHeight="15" x14ac:dyDescent="0.25"/>
  <cols>
    <col min="1" max="1" width="9.140625" style="172"/>
    <col min="2" max="2" width="32.5703125" customWidth="1"/>
    <col min="3" max="3" width="12.28515625" customWidth="1"/>
    <col min="4" max="4" width="22.5703125" style="39" customWidth="1"/>
    <col min="5" max="5" width="14.7109375" customWidth="1"/>
    <col min="6" max="6" width="14" customWidth="1"/>
    <col min="7" max="7" width="14.7109375" customWidth="1"/>
    <col min="8" max="8" width="12.28515625" customWidth="1"/>
    <col min="9" max="9" width="15.7109375" customWidth="1"/>
    <col min="10" max="10" width="10.28515625" customWidth="1"/>
    <col min="11" max="11" width="11.42578125" customWidth="1"/>
    <col min="12" max="12" width="11.7109375" customWidth="1"/>
    <col min="13" max="13" width="12.42578125" customWidth="1"/>
    <col min="14" max="14" width="11.5703125" customWidth="1"/>
    <col min="15" max="15" width="12.42578125" customWidth="1"/>
    <col min="16" max="17" width="12.7109375" customWidth="1"/>
    <col min="18" max="18" width="12" customWidth="1"/>
    <col min="19" max="19" width="12.28515625" customWidth="1"/>
    <col min="20" max="20" width="13.42578125" customWidth="1"/>
    <col min="21" max="21" width="12.5703125" customWidth="1"/>
    <col min="22" max="22" width="12.42578125" customWidth="1"/>
    <col min="23" max="23" width="14.28515625" customWidth="1"/>
    <col min="24" max="24" width="14" customWidth="1"/>
    <col min="25" max="25" width="13.5703125" customWidth="1"/>
    <col min="26" max="26" width="14" customWidth="1"/>
    <col min="27" max="29" width="11.85546875" bestFit="1" customWidth="1"/>
    <col min="30" max="33" width="11.7109375" customWidth="1"/>
    <col min="34" max="34" width="12.5703125" customWidth="1"/>
    <col min="35" max="35" width="14.140625" customWidth="1"/>
  </cols>
  <sheetData>
    <row r="1" spans="1:36" ht="18.75" x14ac:dyDescent="0.3">
      <c r="B1" s="701" t="s">
        <v>506</v>
      </c>
      <c r="C1" s="701"/>
      <c r="D1" s="701"/>
      <c r="E1" s="184"/>
      <c r="F1" s="708" t="s">
        <v>641</v>
      </c>
      <c r="G1" s="708"/>
      <c r="H1" s="708"/>
      <c r="I1" s="708"/>
      <c r="J1" s="708"/>
      <c r="K1" s="708"/>
      <c r="L1" s="708"/>
      <c r="M1" s="708"/>
      <c r="N1" s="708"/>
      <c r="O1" s="708"/>
    </row>
    <row r="2" spans="1:36" s="172" customFormat="1" ht="15.75" x14ac:dyDescent="0.25">
      <c r="B2" s="173" t="s">
        <v>651</v>
      </c>
      <c r="M2" s="707" t="s">
        <v>631</v>
      </c>
      <c r="N2" s="707"/>
      <c r="O2" s="707"/>
      <c r="P2" s="706" t="s">
        <v>630</v>
      </c>
      <c r="Q2" s="706"/>
      <c r="R2" s="706"/>
      <c r="S2" s="706"/>
      <c r="T2" s="709" t="s">
        <v>633</v>
      </c>
      <c r="U2" s="709"/>
      <c r="V2" s="709"/>
      <c r="W2" s="709"/>
      <c r="X2" s="709"/>
      <c r="Y2" s="709"/>
      <c r="Z2" s="709"/>
    </row>
    <row r="3" spans="1:36" ht="15.75" customHeight="1" x14ac:dyDescent="0.25">
      <c r="B3" s="703" t="s">
        <v>531</v>
      </c>
      <c r="C3" s="705" t="s">
        <v>272</v>
      </c>
      <c r="D3" s="705" t="s">
        <v>303</v>
      </c>
      <c r="E3" s="700">
        <v>2013</v>
      </c>
      <c r="F3" s="700">
        <f>E3+1</f>
        <v>2014</v>
      </c>
      <c r="G3" s="700">
        <f t="shared" ref="G3:AH3" si="0">F3+1</f>
        <v>2015</v>
      </c>
      <c r="H3" s="700">
        <f t="shared" si="0"/>
        <v>2016</v>
      </c>
      <c r="I3" s="700">
        <f t="shared" si="0"/>
        <v>2017</v>
      </c>
      <c r="J3" s="700">
        <f t="shared" si="0"/>
        <v>2018</v>
      </c>
      <c r="K3" s="700">
        <f t="shared" si="0"/>
        <v>2019</v>
      </c>
      <c r="L3" s="700">
        <f t="shared" si="0"/>
        <v>2020</v>
      </c>
      <c r="M3" s="700">
        <f t="shared" si="0"/>
        <v>2021</v>
      </c>
      <c r="N3" s="700">
        <f t="shared" si="0"/>
        <v>2022</v>
      </c>
      <c r="O3" s="700">
        <f t="shared" si="0"/>
        <v>2023</v>
      </c>
      <c r="P3" s="700">
        <f t="shared" si="0"/>
        <v>2024</v>
      </c>
      <c r="Q3" s="700">
        <f t="shared" si="0"/>
        <v>2025</v>
      </c>
      <c r="R3" s="700">
        <f t="shared" si="0"/>
        <v>2026</v>
      </c>
      <c r="S3" s="700">
        <f t="shared" si="0"/>
        <v>2027</v>
      </c>
      <c r="T3" s="700">
        <f t="shared" si="0"/>
        <v>2028</v>
      </c>
      <c r="U3" s="700">
        <f t="shared" si="0"/>
        <v>2029</v>
      </c>
      <c r="V3" s="700">
        <f t="shared" si="0"/>
        <v>2030</v>
      </c>
      <c r="W3" s="700">
        <f t="shared" si="0"/>
        <v>2031</v>
      </c>
      <c r="X3" s="700">
        <f t="shared" si="0"/>
        <v>2032</v>
      </c>
      <c r="Y3" s="700">
        <f t="shared" si="0"/>
        <v>2033</v>
      </c>
      <c r="Z3" s="700">
        <f t="shared" si="0"/>
        <v>2034</v>
      </c>
      <c r="AA3" s="696">
        <f t="shared" si="0"/>
        <v>2035</v>
      </c>
      <c r="AB3" s="696">
        <f t="shared" si="0"/>
        <v>2036</v>
      </c>
      <c r="AC3" s="696">
        <f t="shared" si="0"/>
        <v>2037</v>
      </c>
      <c r="AD3" s="696">
        <f t="shared" si="0"/>
        <v>2038</v>
      </c>
      <c r="AE3" s="696">
        <f t="shared" si="0"/>
        <v>2039</v>
      </c>
      <c r="AF3" s="696">
        <f t="shared" si="0"/>
        <v>2040</v>
      </c>
      <c r="AG3" s="696">
        <f t="shared" si="0"/>
        <v>2041</v>
      </c>
      <c r="AH3" s="696">
        <f t="shared" si="0"/>
        <v>2042</v>
      </c>
      <c r="AI3" s="696">
        <f>AH3+1</f>
        <v>2043</v>
      </c>
      <c r="AJ3" s="699"/>
    </row>
    <row r="4" spans="1:36" x14ac:dyDescent="0.25">
      <c r="B4" s="704"/>
      <c r="C4" s="705"/>
      <c r="D4" s="705"/>
      <c r="E4" s="700"/>
      <c r="F4" s="700"/>
      <c r="G4" s="700"/>
      <c r="H4" s="700"/>
      <c r="I4" s="700"/>
      <c r="J4" s="700"/>
      <c r="K4" s="700"/>
      <c r="L4" s="700"/>
      <c r="M4" s="702"/>
      <c r="N4" s="702"/>
      <c r="O4" s="702"/>
      <c r="P4" s="700"/>
      <c r="Q4" s="700"/>
      <c r="R4" s="700"/>
      <c r="S4" s="700"/>
      <c r="T4" s="700"/>
      <c r="U4" s="700"/>
      <c r="V4" s="700"/>
      <c r="W4" s="700"/>
      <c r="X4" s="700"/>
      <c r="Y4" s="700"/>
      <c r="Z4" s="700"/>
      <c r="AA4" s="696"/>
      <c r="AB4" s="696"/>
      <c r="AC4" s="696"/>
      <c r="AD4" s="696"/>
      <c r="AE4" s="696"/>
      <c r="AF4" s="696"/>
      <c r="AG4" s="696"/>
      <c r="AH4" s="696"/>
      <c r="AI4" s="696"/>
      <c r="AJ4" s="699"/>
    </row>
    <row r="5" spans="1:36" x14ac:dyDescent="0.25">
      <c r="B5" s="513" t="s">
        <v>320</v>
      </c>
      <c r="C5" s="271" t="s">
        <v>316</v>
      </c>
      <c r="D5" s="272"/>
      <c r="E5" s="272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272"/>
      <c r="R5" s="272"/>
      <c r="S5" s="272"/>
      <c r="T5" s="272"/>
      <c r="U5" s="272"/>
      <c r="V5" s="272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9"/>
    </row>
    <row r="6" spans="1:36" x14ac:dyDescent="0.25">
      <c r="B6" s="273" t="s">
        <v>302</v>
      </c>
      <c r="C6" s="274">
        <f>'6,3,1'!H287</f>
        <v>66026546.399999999</v>
      </c>
      <c r="D6" s="275">
        <f>SUM(E6:AI6)</f>
        <v>94829130.499999985</v>
      </c>
      <c r="E6" s="272"/>
      <c r="F6" s="542">
        <f t="shared" ref="F6:L6" si="1">$C$51*10%</f>
        <v>918892.70000000007</v>
      </c>
      <c r="G6" s="542">
        <f t="shared" si="1"/>
        <v>918892.70000000007</v>
      </c>
      <c r="H6" s="542">
        <f t="shared" si="1"/>
        <v>918892.70000000007</v>
      </c>
      <c r="I6" s="542">
        <f t="shared" si="1"/>
        <v>918892.70000000007</v>
      </c>
      <c r="J6" s="542">
        <f t="shared" si="1"/>
        <v>918892.70000000007</v>
      </c>
      <c r="K6" s="542">
        <f t="shared" si="1"/>
        <v>918892.70000000007</v>
      </c>
      <c r="L6" s="542">
        <f t="shared" si="1"/>
        <v>918892.70000000007</v>
      </c>
      <c r="M6" s="545">
        <f>$C$51*10%+(C52*30%)</f>
        <v>21876338.899999999</v>
      </c>
      <c r="N6" s="545">
        <f>$C$51*10%+(C52*35%)</f>
        <v>25369246.599999998</v>
      </c>
      <c r="O6" s="545">
        <f>$C$51*10%+(C52*35%)</f>
        <v>25369246.599999998</v>
      </c>
      <c r="P6" s="276">
        <f>$C$53/4</f>
        <v>3945512.375</v>
      </c>
      <c r="Q6" s="276">
        <f>$C$53/4</f>
        <v>3945512.375</v>
      </c>
      <c r="R6" s="276">
        <f>$C$53/4</f>
        <v>3945512.375</v>
      </c>
      <c r="S6" s="276">
        <f>$C$53/4</f>
        <v>3945512.375</v>
      </c>
      <c r="T6" s="276">
        <f t="shared" ref="T6:Z6" si="2">$C$99/7</f>
        <v>0</v>
      </c>
      <c r="U6" s="276">
        <f t="shared" si="2"/>
        <v>0</v>
      </c>
      <c r="V6" s="276">
        <f t="shared" si="2"/>
        <v>0</v>
      </c>
      <c r="W6" s="276">
        <f t="shared" si="2"/>
        <v>0</v>
      </c>
      <c r="X6" s="276">
        <f t="shared" si="2"/>
        <v>0</v>
      </c>
      <c r="Y6" s="276">
        <f t="shared" si="2"/>
        <v>0</v>
      </c>
      <c r="Z6" s="276">
        <f t="shared" si="2"/>
        <v>0</v>
      </c>
      <c r="AA6" s="276">
        <v>0</v>
      </c>
      <c r="AB6" s="276">
        <v>0</v>
      </c>
      <c r="AC6" s="276">
        <v>0</v>
      </c>
      <c r="AD6" s="276">
        <v>0</v>
      </c>
      <c r="AE6" s="276">
        <v>0</v>
      </c>
      <c r="AF6" s="276">
        <v>0</v>
      </c>
      <c r="AG6" s="276">
        <v>0</v>
      </c>
      <c r="AH6" s="276">
        <v>0</v>
      </c>
      <c r="AI6" s="276">
        <v>0</v>
      </c>
    </row>
    <row r="7" spans="1:36" x14ac:dyDescent="0.25">
      <c r="B7" s="273" t="s">
        <v>321</v>
      </c>
      <c r="C7" s="274">
        <f>'6,3,1'!H288</f>
        <v>94006951.499412</v>
      </c>
      <c r="D7" s="275">
        <f>SUM(E7:AG7)</f>
        <v>158601442.00000006</v>
      </c>
      <c r="E7" s="272"/>
      <c r="F7" s="542">
        <f t="shared" ref="F7:L7" si="3">$D$51*10%</f>
        <v>3471805.8000000003</v>
      </c>
      <c r="G7" s="542">
        <f t="shared" si="3"/>
        <v>3471805.8000000003</v>
      </c>
      <c r="H7" s="542">
        <f t="shared" si="3"/>
        <v>3471805.8000000003</v>
      </c>
      <c r="I7" s="542">
        <f t="shared" si="3"/>
        <v>3471805.8000000003</v>
      </c>
      <c r="J7" s="542">
        <f t="shared" si="3"/>
        <v>3471805.8000000003</v>
      </c>
      <c r="K7" s="542">
        <f t="shared" si="3"/>
        <v>3471805.8000000003</v>
      </c>
      <c r="L7" s="542">
        <f t="shared" si="3"/>
        <v>3471805.8000000003</v>
      </c>
      <c r="M7" s="545">
        <f>$D$51*10%+(D52*30%)</f>
        <v>13120391.4</v>
      </c>
      <c r="N7" s="545">
        <f>$D$51*10%+(D52*35%)</f>
        <v>14728489</v>
      </c>
      <c r="O7" s="545">
        <f>$D$51*10%+(D52*35%)</f>
        <v>14728489</v>
      </c>
      <c r="P7" s="276">
        <f>$D$53/4</f>
        <v>22399333</v>
      </c>
      <c r="Q7" s="276">
        <f>$D$53/4</f>
        <v>22399333</v>
      </c>
      <c r="R7" s="276">
        <f>$D$53/4</f>
        <v>22399333</v>
      </c>
      <c r="S7" s="276">
        <f>$D$53/4</f>
        <v>22399333</v>
      </c>
      <c r="T7" s="276">
        <f t="shared" ref="T7:Z7" si="4">$D$54/7</f>
        <v>303442.85714285716</v>
      </c>
      <c r="U7" s="276">
        <f t="shared" si="4"/>
        <v>303442.85714285716</v>
      </c>
      <c r="V7" s="276">
        <f t="shared" si="4"/>
        <v>303442.85714285716</v>
      </c>
      <c r="W7" s="276">
        <f t="shared" si="4"/>
        <v>303442.85714285716</v>
      </c>
      <c r="X7" s="276">
        <f t="shared" si="4"/>
        <v>303442.85714285716</v>
      </c>
      <c r="Y7" s="276">
        <f t="shared" si="4"/>
        <v>303442.85714285716</v>
      </c>
      <c r="Z7" s="276">
        <f t="shared" si="4"/>
        <v>303442.85714285716</v>
      </c>
      <c r="AA7" s="276">
        <v>0</v>
      </c>
      <c r="AB7" s="276">
        <v>0</v>
      </c>
      <c r="AC7" s="276">
        <v>0</v>
      </c>
      <c r="AD7" s="276">
        <v>0</v>
      </c>
      <c r="AE7" s="276">
        <v>0</v>
      </c>
      <c r="AF7" s="276">
        <v>0</v>
      </c>
      <c r="AG7" s="276">
        <v>0</v>
      </c>
      <c r="AH7" s="276">
        <v>0</v>
      </c>
      <c r="AI7" s="276">
        <v>0</v>
      </c>
    </row>
    <row r="8" spans="1:36" x14ac:dyDescent="0.25">
      <c r="B8" s="271" t="s">
        <v>349</v>
      </c>
      <c r="C8" s="274">
        <f>'6,3,1'!H286</f>
        <v>160033497.89941198</v>
      </c>
      <c r="D8" s="275">
        <f>SUM(E8:AG8)</f>
        <v>253430572.50000006</v>
      </c>
      <c r="E8" s="272"/>
      <c r="F8" s="553">
        <f>SUM(F6:F7)</f>
        <v>4390698.5</v>
      </c>
      <c r="G8" s="553">
        <f t="shared" ref="G8:AG8" si="5">SUM(G6:G7)</f>
        <v>4390698.5</v>
      </c>
      <c r="H8" s="553">
        <f t="shared" si="5"/>
        <v>4390698.5</v>
      </c>
      <c r="I8" s="553">
        <f t="shared" si="5"/>
        <v>4390698.5</v>
      </c>
      <c r="J8" s="553">
        <f t="shared" si="5"/>
        <v>4390698.5</v>
      </c>
      <c r="K8" s="553">
        <f t="shared" si="5"/>
        <v>4390698.5</v>
      </c>
      <c r="L8" s="554">
        <f t="shared" si="5"/>
        <v>4390698.5</v>
      </c>
      <c r="M8" s="553">
        <f t="shared" si="5"/>
        <v>34996730.299999997</v>
      </c>
      <c r="N8" s="553">
        <f t="shared" si="5"/>
        <v>40097735.599999994</v>
      </c>
      <c r="O8" s="553">
        <f t="shared" si="5"/>
        <v>40097735.599999994</v>
      </c>
      <c r="P8" s="555">
        <f t="shared" si="5"/>
        <v>26344845.375</v>
      </c>
      <c r="Q8" s="556">
        <f t="shared" si="5"/>
        <v>26344845.375</v>
      </c>
      <c r="R8" s="556">
        <f t="shared" si="5"/>
        <v>26344845.375</v>
      </c>
      <c r="S8" s="556">
        <f t="shared" si="5"/>
        <v>26344845.375</v>
      </c>
      <c r="T8" s="556">
        <f t="shared" si="5"/>
        <v>303442.85714285716</v>
      </c>
      <c r="U8" s="556">
        <f t="shared" si="5"/>
        <v>303442.85714285716</v>
      </c>
      <c r="V8" s="556">
        <f t="shared" si="5"/>
        <v>303442.85714285716</v>
      </c>
      <c r="W8" s="556">
        <f t="shared" si="5"/>
        <v>303442.85714285716</v>
      </c>
      <c r="X8" s="556">
        <f t="shared" si="5"/>
        <v>303442.85714285716</v>
      </c>
      <c r="Y8" s="556">
        <f t="shared" si="5"/>
        <v>303442.85714285716</v>
      </c>
      <c r="Z8" s="556">
        <f t="shared" si="5"/>
        <v>303442.85714285716</v>
      </c>
      <c r="AA8" s="276">
        <f t="shared" si="5"/>
        <v>0</v>
      </c>
      <c r="AB8" s="276">
        <f t="shared" si="5"/>
        <v>0</v>
      </c>
      <c r="AC8" s="276">
        <f t="shared" si="5"/>
        <v>0</v>
      </c>
      <c r="AD8" s="276">
        <f t="shared" si="5"/>
        <v>0</v>
      </c>
      <c r="AE8" s="276">
        <f t="shared" si="5"/>
        <v>0</v>
      </c>
      <c r="AF8" s="276">
        <f t="shared" si="5"/>
        <v>0</v>
      </c>
      <c r="AG8" s="276">
        <f t="shared" si="5"/>
        <v>0</v>
      </c>
      <c r="AH8" s="276">
        <f t="shared" ref="AH8:AI8" si="6">SUM(AH6:AH7)</f>
        <v>0</v>
      </c>
      <c r="AI8" s="276">
        <f t="shared" si="6"/>
        <v>0</v>
      </c>
    </row>
    <row r="9" spans="1:36" s="509" customFormat="1" x14ac:dyDescent="0.25">
      <c r="A9" s="172">
        <v>1</v>
      </c>
      <c r="B9" s="271" t="s">
        <v>637</v>
      </c>
      <c r="C9" s="274"/>
      <c r="D9" s="275">
        <f>D10+D11</f>
        <v>2534305.725000001</v>
      </c>
      <c r="E9" s="272"/>
      <c r="F9" s="542">
        <f>F10+F11</f>
        <v>43906.985000000008</v>
      </c>
      <c r="G9" s="542">
        <f t="shared" ref="G9:Z9" si="7">G10+G11</f>
        <v>43906.985000000008</v>
      </c>
      <c r="H9" s="542">
        <f t="shared" si="7"/>
        <v>43906.985000000008</v>
      </c>
      <c r="I9" s="542">
        <f t="shared" si="7"/>
        <v>43906.985000000008</v>
      </c>
      <c r="J9" s="542">
        <f t="shared" si="7"/>
        <v>43906.985000000008</v>
      </c>
      <c r="K9" s="542">
        <f t="shared" si="7"/>
        <v>43906.985000000008</v>
      </c>
      <c r="L9" s="542">
        <f t="shared" si="7"/>
        <v>43906.985000000008</v>
      </c>
      <c r="M9" s="542">
        <f t="shared" si="7"/>
        <v>349967.30300000001</v>
      </c>
      <c r="N9" s="542">
        <f t="shared" si="7"/>
        <v>400977.35600000003</v>
      </c>
      <c r="O9" s="542">
        <f t="shared" si="7"/>
        <v>400977.35600000003</v>
      </c>
      <c r="P9" s="542">
        <f t="shared" si="7"/>
        <v>263448.45374999999</v>
      </c>
      <c r="Q9" s="542">
        <f t="shared" si="7"/>
        <v>263448.45374999999</v>
      </c>
      <c r="R9" s="542">
        <f t="shared" si="7"/>
        <v>263448.45374999999</v>
      </c>
      <c r="S9" s="542">
        <f t="shared" si="7"/>
        <v>263448.45374999999</v>
      </c>
      <c r="T9" s="542">
        <f t="shared" si="7"/>
        <v>3034.4285714285716</v>
      </c>
      <c r="U9" s="542">
        <f t="shared" si="7"/>
        <v>3034.4285714285716</v>
      </c>
      <c r="V9" s="542">
        <f t="shared" si="7"/>
        <v>3034.4285714285716</v>
      </c>
      <c r="W9" s="542">
        <f t="shared" si="7"/>
        <v>3034.4285714285716</v>
      </c>
      <c r="X9" s="542">
        <f t="shared" si="7"/>
        <v>3034.4285714285716</v>
      </c>
      <c r="Y9" s="542">
        <f t="shared" si="7"/>
        <v>3034.4285714285716</v>
      </c>
      <c r="Z9" s="542">
        <f t="shared" si="7"/>
        <v>3034.4285714285716</v>
      </c>
      <c r="AA9" s="542">
        <f t="shared" ref="AA9" si="8">AA10+AA11</f>
        <v>0</v>
      </c>
      <c r="AB9" s="542">
        <f t="shared" ref="AB9" si="9">AB10+AB11</f>
        <v>0</v>
      </c>
      <c r="AC9" s="542">
        <f t="shared" ref="AC9" si="10">AC10+AC11</f>
        <v>0</v>
      </c>
      <c r="AD9" s="542">
        <f t="shared" ref="AD9" si="11">AD10+AD11</f>
        <v>0</v>
      </c>
      <c r="AE9" s="542">
        <f t="shared" ref="AE9" si="12">AE10+AE11</f>
        <v>0</v>
      </c>
      <c r="AF9" s="542">
        <f t="shared" ref="AF9" si="13">AF10+AF11</f>
        <v>0</v>
      </c>
      <c r="AG9" s="542">
        <f t="shared" ref="AG9" si="14">AG10+AG11</f>
        <v>0</v>
      </c>
      <c r="AH9" s="542">
        <f t="shared" ref="AH9" si="15">AH10+AH11</f>
        <v>0</v>
      </c>
      <c r="AI9" s="542">
        <f t="shared" ref="AI9" si="16">AI10+AI11</f>
        <v>0</v>
      </c>
    </row>
    <row r="10" spans="1:36" s="509" customFormat="1" x14ac:dyDescent="0.25">
      <c r="A10" s="172"/>
      <c r="B10" s="273" t="s">
        <v>302</v>
      </c>
      <c r="C10" s="274"/>
      <c r="D10" s="275">
        <f>SUM(F10:Z10)</f>
        <v>948291.30500000017</v>
      </c>
      <c r="E10" s="272"/>
      <c r="F10" s="542">
        <f>1%*F6</f>
        <v>9188.9270000000015</v>
      </c>
      <c r="G10" s="542">
        <f t="shared" ref="G10:AI10" si="17">1%*G6</f>
        <v>9188.9270000000015</v>
      </c>
      <c r="H10" s="542">
        <f t="shared" si="17"/>
        <v>9188.9270000000015</v>
      </c>
      <c r="I10" s="542">
        <f t="shared" si="17"/>
        <v>9188.9270000000015</v>
      </c>
      <c r="J10" s="542">
        <f t="shared" si="17"/>
        <v>9188.9270000000015</v>
      </c>
      <c r="K10" s="542">
        <f t="shared" si="17"/>
        <v>9188.9270000000015</v>
      </c>
      <c r="L10" s="542">
        <f t="shared" si="17"/>
        <v>9188.9270000000015</v>
      </c>
      <c r="M10" s="542">
        <f t="shared" si="17"/>
        <v>218763.389</v>
      </c>
      <c r="N10" s="542">
        <f t="shared" si="17"/>
        <v>253692.46599999999</v>
      </c>
      <c r="O10" s="542">
        <f t="shared" si="17"/>
        <v>253692.46599999999</v>
      </c>
      <c r="P10" s="542">
        <f t="shared" si="17"/>
        <v>39455.123749999999</v>
      </c>
      <c r="Q10" s="542">
        <f t="shared" si="17"/>
        <v>39455.123749999999</v>
      </c>
      <c r="R10" s="542">
        <f t="shared" si="17"/>
        <v>39455.123749999999</v>
      </c>
      <c r="S10" s="542">
        <f t="shared" si="17"/>
        <v>39455.123749999999</v>
      </c>
      <c r="T10" s="542">
        <f t="shared" si="17"/>
        <v>0</v>
      </c>
      <c r="U10" s="542">
        <f t="shared" si="17"/>
        <v>0</v>
      </c>
      <c r="V10" s="542">
        <f t="shared" si="17"/>
        <v>0</v>
      </c>
      <c r="W10" s="542">
        <f t="shared" si="17"/>
        <v>0</v>
      </c>
      <c r="X10" s="542">
        <f t="shared" si="17"/>
        <v>0</v>
      </c>
      <c r="Y10" s="542">
        <f t="shared" si="17"/>
        <v>0</v>
      </c>
      <c r="Z10" s="542">
        <f t="shared" si="17"/>
        <v>0</v>
      </c>
      <c r="AA10" s="542">
        <f t="shared" si="17"/>
        <v>0</v>
      </c>
      <c r="AB10" s="542">
        <f t="shared" si="17"/>
        <v>0</v>
      </c>
      <c r="AC10" s="542">
        <f t="shared" si="17"/>
        <v>0</v>
      </c>
      <c r="AD10" s="542">
        <f t="shared" si="17"/>
        <v>0</v>
      </c>
      <c r="AE10" s="542">
        <f t="shared" si="17"/>
        <v>0</v>
      </c>
      <c r="AF10" s="542">
        <f t="shared" si="17"/>
        <v>0</v>
      </c>
      <c r="AG10" s="542">
        <f t="shared" si="17"/>
        <v>0</v>
      </c>
      <c r="AH10" s="542">
        <f t="shared" si="17"/>
        <v>0</v>
      </c>
      <c r="AI10" s="542">
        <f t="shared" si="17"/>
        <v>0</v>
      </c>
    </row>
    <row r="11" spans="1:36" s="509" customFormat="1" x14ac:dyDescent="0.25">
      <c r="A11" s="172"/>
      <c r="B11" s="273" t="s">
        <v>321</v>
      </c>
      <c r="C11" s="274"/>
      <c r="D11" s="275">
        <f>SUM(F11:Z11)</f>
        <v>1586014.4200000009</v>
      </c>
      <c r="E11" s="272"/>
      <c r="F11" s="542">
        <f>1%*F7</f>
        <v>34718.058000000005</v>
      </c>
      <c r="G11" s="542">
        <f t="shared" ref="G11:AI11" si="18">1%*G7</f>
        <v>34718.058000000005</v>
      </c>
      <c r="H11" s="542">
        <f t="shared" si="18"/>
        <v>34718.058000000005</v>
      </c>
      <c r="I11" s="542">
        <f t="shared" si="18"/>
        <v>34718.058000000005</v>
      </c>
      <c r="J11" s="542">
        <f t="shared" si="18"/>
        <v>34718.058000000005</v>
      </c>
      <c r="K11" s="542">
        <f t="shared" si="18"/>
        <v>34718.058000000005</v>
      </c>
      <c r="L11" s="542">
        <f t="shared" si="18"/>
        <v>34718.058000000005</v>
      </c>
      <c r="M11" s="542">
        <f t="shared" si="18"/>
        <v>131203.91400000002</v>
      </c>
      <c r="N11" s="542">
        <f t="shared" si="18"/>
        <v>147284.89000000001</v>
      </c>
      <c r="O11" s="542">
        <f t="shared" si="18"/>
        <v>147284.89000000001</v>
      </c>
      <c r="P11" s="542">
        <f t="shared" si="18"/>
        <v>223993.33000000002</v>
      </c>
      <c r="Q11" s="542">
        <f t="shared" si="18"/>
        <v>223993.33000000002</v>
      </c>
      <c r="R11" s="542">
        <f t="shared" si="18"/>
        <v>223993.33000000002</v>
      </c>
      <c r="S11" s="542">
        <f t="shared" si="18"/>
        <v>223993.33000000002</v>
      </c>
      <c r="T11" s="542">
        <f t="shared" si="18"/>
        <v>3034.4285714285716</v>
      </c>
      <c r="U11" s="542">
        <f t="shared" si="18"/>
        <v>3034.4285714285716</v>
      </c>
      <c r="V11" s="542">
        <f t="shared" si="18"/>
        <v>3034.4285714285716</v>
      </c>
      <c r="W11" s="542">
        <f t="shared" si="18"/>
        <v>3034.4285714285716</v>
      </c>
      <c r="X11" s="542">
        <f t="shared" si="18"/>
        <v>3034.4285714285716</v>
      </c>
      <c r="Y11" s="542">
        <f t="shared" si="18"/>
        <v>3034.4285714285716</v>
      </c>
      <c r="Z11" s="542">
        <f t="shared" si="18"/>
        <v>3034.4285714285716</v>
      </c>
      <c r="AA11" s="542">
        <f t="shared" si="18"/>
        <v>0</v>
      </c>
      <c r="AB11" s="542">
        <f t="shared" si="18"/>
        <v>0</v>
      </c>
      <c r="AC11" s="542">
        <f t="shared" si="18"/>
        <v>0</v>
      </c>
      <c r="AD11" s="542">
        <f t="shared" si="18"/>
        <v>0</v>
      </c>
      <c r="AE11" s="542">
        <f t="shared" si="18"/>
        <v>0</v>
      </c>
      <c r="AF11" s="542">
        <f t="shared" si="18"/>
        <v>0</v>
      </c>
      <c r="AG11" s="542">
        <f t="shared" si="18"/>
        <v>0</v>
      </c>
      <c r="AH11" s="542">
        <f t="shared" si="18"/>
        <v>0</v>
      </c>
      <c r="AI11" s="542">
        <f t="shared" si="18"/>
        <v>0</v>
      </c>
    </row>
    <row r="12" spans="1:36" s="94" customFormat="1" x14ac:dyDescent="0.25">
      <c r="A12" s="172">
        <v>2.5</v>
      </c>
      <c r="B12" s="351" t="s">
        <v>350</v>
      </c>
      <c r="C12" s="274"/>
      <c r="D12" s="277">
        <f>SUM(E12:AG12)</f>
        <v>6335764.3125000047</v>
      </c>
      <c r="E12" s="272"/>
      <c r="F12" s="543">
        <f>SUM(F13:F14)</f>
        <v>109767.46250000002</v>
      </c>
      <c r="G12" s="543">
        <f t="shared" ref="G12:AG12" si="19">SUM(G13:G14)</f>
        <v>109767.46250000002</v>
      </c>
      <c r="H12" s="543">
        <f t="shared" si="19"/>
        <v>109767.46250000002</v>
      </c>
      <c r="I12" s="543">
        <f t="shared" si="19"/>
        <v>109767.46250000002</v>
      </c>
      <c r="J12" s="543">
        <f t="shared" si="19"/>
        <v>109767.46250000002</v>
      </c>
      <c r="K12" s="543">
        <f t="shared" si="19"/>
        <v>109767.46250000002</v>
      </c>
      <c r="L12" s="544">
        <f t="shared" si="19"/>
        <v>109767.46250000002</v>
      </c>
      <c r="M12" s="543">
        <f t="shared" si="19"/>
        <v>874918.25750000007</v>
      </c>
      <c r="N12" s="543">
        <f t="shared" si="19"/>
        <v>1002443.3900000001</v>
      </c>
      <c r="O12" s="543">
        <f t="shared" si="19"/>
        <v>1002443.3900000001</v>
      </c>
      <c r="P12" s="468">
        <f t="shared" si="19"/>
        <v>658621.13437500014</v>
      </c>
      <c r="Q12" s="278">
        <f t="shared" si="19"/>
        <v>658621.13437500014</v>
      </c>
      <c r="R12" s="278">
        <f t="shared" si="19"/>
        <v>658621.13437500014</v>
      </c>
      <c r="S12" s="278">
        <f t="shared" si="19"/>
        <v>658621.13437500014</v>
      </c>
      <c r="T12" s="278">
        <f t="shared" si="19"/>
        <v>7586.0714285714294</v>
      </c>
      <c r="U12" s="278">
        <f t="shared" si="19"/>
        <v>7586.0714285714294</v>
      </c>
      <c r="V12" s="278">
        <f t="shared" si="19"/>
        <v>7586.0714285714294</v>
      </c>
      <c r="W12" s="278">
        <f t="shared" si="19"/>
        <v>7586.0714285714294</v>
      </c>
      <c r="X12" s="278">
        <f t="shared" si="19"/>
        <v>7586.0714285714294</v>
      </c>
      <c r="Y12" s="278">
        <f t="shared" si="19"/>
        <v>7586.0714285714294</v>
      </c>
      <c r="Z12" s="278">
        <f t="shared" si="19"/>
        <v>7586.0714285714294</v>
      </c>
      <c r="AA12" s="278">
        <f t="shared" si="19"/>
        <v>0</v>
      </c>
      <c r="AB12" s="278">
        <f t="shared" si="19"/>
        <v>0</v>
      </c>
      <c r="AC12" s="278">
        <f t="shared" si="19"/>
        <v>0</v>
      </c>
      <c r="AD12" s="278">
        <f t="shared" si="19"/>
        <v>0</v>
      </c>
      <c r="AE12" s="278">
        <f t="shared" si="19"/>
        <v>0</v>
      </c>
      <c r="AF12" s="278">
        <f t="shared" si="19"/>
        <v>0</v>
      </c>
      <c r="AG12" s="278">
        <f t="shared" si="19"/>
        <v>0</v>
      </c>
      <c r="AH12" s="278">
        <f t="shared" ref="AH12:AI12" si="20">SUM(AH13:AH14)</f>
        <v>0</v>
      </c>
      <c r="AI12" s="278">
        <f t="shared" si="20"/>
        <v>0</v>
      </c>
    </row>
    <row r="13" spans="1:36" s="94" customFormat="1" x14ac:dyDescent="0.25">
      <c r="A13" s="172"/>
      <c r="B13" s="349" t="s">
        <v>302</v>
      </c>
      <c r="C13" s="274"/>
      <c r="D13" s="275">
        <f t="shared" ref="D13:D38" si="21">SUM(E13:AG13)</f>
        <v>2370728.2625000007</v>
      </c>
      <c r="E13" s="272"/>
      <c r="F13" s="542">
        <f>2.5%*F6</f>
        <v>22972.317500000005</v>
      </c>
      <c r="G13" s="542">
        <f t="shared" ref="G13:AI13" si="22">2.5%*G6</f>
        <v>22972.317500000005</v>
      </c>
      <c r="H13" s="542">
        <f t="shared" si="22"/>
        <v>22972.317500000005</v>
      </c>
      <c r="I13" s="542">
        <f t="shared" si="22"/>
        <v>22972.317500000005</v>
      </c>
      <c r="J13" s="542">
        <f t="shared" si="22"/>
        <v>22972.317500000005</v>
      </c>
      <c r="K13" s="542">
        <f t="shared" si="22"/>
        <v>22972.317500000005</v>
      </c>
      <c r="L13" s="542">
        <f t="shared" si="22"/>
        <v>22972.317500000005</v>
      </c>
      <c r="M13" s="542">
        <f t="shared" si="22"/>
        <v>546908.47250000003</v>
      </c>
      <c r="N13" s="542">
        <f t="shared" si="22"/>
        <v>634231.16500000004</v>
      </c>
      <c r="O13" s="542">
        <f t="shared" si="22"/>
        <v>634231.16500000004</v>
      </c>
      <c r="P13" s="542">
        <f t="shared" si="22"/>
        <v>98637.809375000012</v>
      </c>
      <c r="Q13" s="542">
        <f t="shared" si="22"/>
        <v>98637.809375000012</v>
      </c>
      <c r="R13" s="542">
        <f t="shared" si="22"/>
        <v>98637.809375000012</v>
      </c>
      <c r="S13" s="542">
        <f t="shared" si="22"/>
        <v>98637.809375000012</v>
      </c>
      <c r="T13" s="542">
        <f t="shared" si="22"/>
        <v>0</v>
      </c>
      <c r="U13" s="542">
        <f t="shared" si="22"/>
        <v>0</v>
      </c>
      <c r="V13" s="542">
        <f t="shared" si="22"/>
        <v>0</v>
      </c>
      <c r="W13" s="542">
        <f t="shared" si="22"/>
        <v>0</v>
      </c>
      <c r="X13" s="542">
        <f t="shared" si="22"/>
        <v>0</v>
      </c>
      <c r="Y13" s="542">
        <f t="shared" si="22"/>
        <v>0</v>
      </c>
      <c r="Z13" s="542">
        <f t="shared" si="22"/>
        <v>0</v>
      </c>
      <c r="AA13" s="542">
        <f t="shared" si="22"/>
        <v>0</v>
      </c>
      <c r="AB13" s="542">
        <f t="shared" si="22"/>
        <v>0</v>
      </c>
      <c r="AC13" s="542">
        <f t="shared" si="22"/>
        <v>0</v>
      </c>
      <c r="AD13" s="542">
        <f t="shared" si="22"/>
        <v>0</v>
      </c>
      <c r="AE13" s="542">
        <f t="shared" si="22"/>
        <v>0</v>
      </c>
      <c r="AF13" s="542">
        <f t="shared" si="22"/>
        <v>0</v>
      </c>
      <c r="AG13" s="542">
        <f t="shared" si="22"/>
        <v>0</v>
      </c>
      <c r="AH13" s="542">
        <f t="shared" si="22"/>
        <v>0</v>
      </c>
      <c r="AI13" s="542">
        <f t="shared" si="22"/>
        <v>0</v>
      </c>
    </row>
    <row r="14" spans="1:36" s="94" customFormat="1" x14ac:dyDescent="0.25">
      <c r="A14" s="172"/>
      <c r="B14" s="350" t="s">
        <v>321</v>
      </c>
      <c r="C14" s="274"/>
      <c r="D14" s="275">
        <f t="shared" si="21"/>
        <v>3965036.0500000003</v>
      </c>
      <c r="E14" s="272"/>
      <c r="F14" s="542">
        <f>2.5%*F7</f>
        <v>86795.145000000019</v>
      </c>
      <c r="G14" s="542">
        <f t="shared" ref="G14:AI14" si="23">2.5%*G7</f>
        <v>86795.145000000019</v>
      </c>
      <c r="H14" s="542">
        <f t="shared" si="23"/>
        <v>86795.145000000019</v>
      </c>
      <c r="I14" s="542">
        <f t="shared" si="23"/>
        <v>86795.145000000019</v>
      </c>
      <c r="J14" s="542">
        <f t="shared" si="23"/>
        <v>86795.145000000019</v>
      </c>
      <c r="K14" s="542">
        <f t="shared" si="23"/>
        <v>86795.145000000019</v>
      </c>
      <c r="L14" s="542">
        <f t="shared" si="23"/>
        <v>86795.145000000019</v>
      </c>
      <c r="M14" s="542">
        <f t="shared" si="23"/>
        <v>328009.78500000003</v>
      </c>
      <c r="N14" s="542">
        <f t="shared" si="23"/>
        <v>368212.22500000003</v>
      </c>
      <c r="O14" s="542">
        <f t="shared" si="23"/>
        <v>368212.22500000003</v>
      </c>
      <c r="P14" s="542">
        <f t="shared" si="23"/>
        <v>559983.32500000007</v>
      </c>
      <c r="Q14" s="542">
        <f t="shared" si="23"/>
        <v>559983.32500000007</v>
      </c>
      <c r="R14" s="542">
        <f t="shared" si="23"/>
        <v>559983.32500000007</v>
      </c>
      <c r="S14" s="542">
        <f t="shared" si="23"/>
        <v>559983.32500000007</v>
      </c>
      <c r="T14" s="542">
        <f t="shared" si="23"/>
        <v>7586.0714285714294</v>
      </c>
      <c r="U14" s="542">
        <f t="shared" si="23"/>
        <v>7586.0714285714294</v>
      </c>
      <c r="V14" s="542">
        <f t="shared" si="23"/>
        <v>7586.0714285714294</v>
      </c>
      <c r="W14" s="542">
        <f t="shared" si="23"/>
        <v>7586.0714285714294</v>
      </c>
      <c r="X14" s="542">
        <f t="shared" si="23"/>
        <v>7586.0714285714294</v>
      </c>
      <c r="Y14" s="542">
        <f t="shared" si="23"/>
        <v>7586.0714285714294</v>
      </c>
      <c r="Z14" s="542">
        <f t="shared" si="23"/>
        <v>7586.0714285714294</v>
      </c>
      <c r="AA14" s="542">
        <f t="shared" si="23"/>
        <v>0</v>
      </c>
      <c r="AB14" s="542">
        <f t="shared" si="23"/>
        <v>0</v>
      </c>
      <c r="AC14" s="542">
        <f t="shared" si="23"/>
        <v>0</v>
      </c>
      <c r="AD14" s="542">
        <f t="shared" si="23"/>
        <v>0</v>
      </c>
      <c r="AE14" s="542">
        <f t="shared" si="23"/>
        <v>0</v>
      </c>
      <c r="AF14" s="542">
        <f t="shared" si="23"/>
        <v>0</v>
      </c>
      <c r="AG14" s="542">
        <f t="shared" si="23"/>
        <v>0</v>
      </c>
      <c r="AH14" s="542">
        <f t="shared" si="23"/>
        <v>0</v>
      </c>
      <c r="AI14" s="542">
        <f t="shared" si="23"/>
        <v>0</v>
      </c>
    </row>
    <row r="15" spans="1:36" s="94" customFormat="1" ht="24.75" x14ac:dyDescent="0.25">
      <c r="A15" s="172">
        <v>2</v>
      </c>
      <c r="B15" s="352" t="s">
        <v>525</v>
      </c>
      <c r="C15" s="274"/>
      <c r="D15" s="567">
        <f t="shared" si="21"/>
        <v>5068611.45</v>
      </c>
      <c r="E15" s="272"/>
      <c r="F15" s="278">
        <f>SUM(F16:F17)</f>
        <v>87813.970000000016</v>
      </c>
      <c r="G15" s="278">
        <f t="shared" ref="G15:AG15" si="24">SUM(G16:G17)</f>
        <v>87813.970000000016</v>
      </c>
      <c r="H15" s="278">
        <f t="shared" si="24"/>
        <v>87813.970000000016</v>
      </c>
      <c r="I15" s="278">
        <f t="shared" si="24"/>
        <v>87813.970000000016</v>
      </c>
      <c r="J15" s="278">
        <f t="shared" si="24"/>
        <v>87813.970000000016</v>
      </c>
      <c r="K15" s="278">
        <f t="shared" si="24"/>
        <v>87813.970000000016</v>
      </c>
      <c r="L15" s="463">
        <f t="shared" si="24"/>
        <v>87813.970000000016</v>
      </c>
      <c r="M15" s="278">
        <f t="shared" si="24"/>
        <v>699934.60600000003</v>
      </c>
      <c r="N15" s="278">
        <f t="shared" si="24"/>
        <v>801954.71200000006</v>
      </c>
      <c r="O15" s="278">
        <f t="shared" si="24"/>
        <v>801954.71200000006</v>
      </c>
      <c r="P15" s="468">
        <f t="shared" si="24"/>
        <v>526896.90749999997</v>
      </c>
      <c r="Q15" s="278">
        <f t="shared" si="24"/>
        <v>526896.90749999997</v>
      </c>
      <c r="R15" s="278">
        <f t="shared" si="24"/>
        <v>526896.90749999997</v>
      </c>
      <c r="S15" s="278">
        <f t="shared" si="24"/>
        <v>526896.90749999997</v>
      </c>
      <c r="T15" s="278">
        <f t="shared" si="24"/>
        <v>6068.8571428571431</v>
      </c>
      <c r="U15" s="278">
        <f t="shared" si="24"/>
        <v>6068.8571428571431</v>
      </c>
      <c r="V15" s="278">
        <f t="shared" si="24"/>
        <v>6068.8571428571431</v>
      </c>
      <c r="W15" s="278">
        <f t="shared" si="24"/>
        <v>6068.8571428571431</v>
      </c>
      <c r="X15" s="278">
        <f t="shared" si="24"/>
        <v>6068.8571428571431</v>
      </c>
      <c r="Y15" s="278">
        <f t="shared" si="24"/>
        <v>6068.8571428571431</v>
      </c>
      <c r="Z15" s="278">
        <f t="shared" si="24"/>
        <v>6068.8571428571431</v>
      </c>
      <c r="AA15" s="278">
        <f t="shared" si="24"/>
        <v>0</v>
      </c>
      <c r="AB15" s="278">
        <f t="shared" si="24"/>
        <v>0</v>
      </c>
      <c r="AC15" s="278">
        <f t="shared" si="24"/>
        <v>0</v>
      </c>
      <c r="AD15" s="278">
        <f t="shared" si="24"/>
        <v>0</v>
      </c>
      <c r="AE15" s="278">
        <f t="shared" si="24"/>
        <v>0</v>
      </c>
      <c r="AF15" s="278">
        <f t="shared" si="24"/>
        <v>0</v>
      </c>
      <c r="AG15" s="278">
        <f t="shared" si="24"/>
        <v>0</v>
      </c>
      <c r="AH15" s="278">
        <f t="shared" ref="AH15:AI15" si="25">SUM(AH16:AH17)</f>
        <v>0</v>
      </c>
      <c r="AI15" s="278">
        <f t="shared" si="25"/>
        <v>0</v>
      </c>
    </row>
    <row r="16" spans="1:36" s="94" customFormat="1" x14ac:dyDescent="0.25">
      <c r="A16" s="172"/>
      <c r="B16" s="349" t="s">
        <v>302</v>
      </c>
      <c r="C16" s="274"/>
      <c r="D16" s="275">
        <f t="shared" si="21"/>
        <v>1896582.6100000003</v>
      </c>
      <c r="E16" s="272"/>
      <c r="F16" s="276">
        <f>2%*F6</f>
        <v>18377.854000000003</v>
      </c>
      <c r="G16" s="276">
        <f t="shared" ref="G16:J16" si="26">2%*G6</f>
        <v>18377.854000000003</v>
      </c>
      <c r="H16" s="276">
        <f t="shared" si="26"/>
        <v>18377.854000000003</v>
      </c>
      <c r="I16" s="276">
        <f t="shared" si="26"/>
        <v>18377.854000000003</v>
      </c>
      <c r="J16" s="276">
        <f t="shared" si="26"/>
        <v>18377.854000000003</v>
      </c>
      <c r="K16" s="276">
        <f t="shared" ref="K16:AI16" si="27">2%*K6</f>
        <v>18377.854000000003</v>
      </c>
      <c r="L16" s="276">
        <f t="shared" si="27"/>
        <v>18377.854000000003</v>
      </c>
      <c r="M16" s="276">
        <f t="shared" si="27"/>
        <v>437526.77799999999</v>
      </c>
      <c r="N16" s="276">
        <f t="shared" si="27"/>
        <v>507384.93199999997</v>
      </c>
      <c r="O16" s="276">
        <f t="shared" si="27"/>
        <v>507384.93199999997</v>
      </c>
      <c r="P16" s="276">
        <f t="shared" si="27"/>
        <v>78910.247499999998</v>
      </c>
      <c r="Q16" s="276">
        <f t="shared" si="27"/>
        <v>78910.247499999998</v>
      </c>
      <c r="R16" s="276">
        <f t="shared" si="27"/>
        <v>78910.247499999998</v>
      </c>
      <c r="S16" s="276">
        <f t="shared" si="27"/>
        <v>78910.247499999998</v>
      </c>
      <c r="T16" s="276">
        <f t="shared" si="27"/>
        <v>0</v>
      </c>
      <c r="U16" s="276">
        <f t="shared" si="27"/>
        <v>0</v>
      </c>
      <c r="V16" s="276">
        <f t="shared" si="27"/>
        <v>0</v>
      </c>
      <c r="W16" s="276">
        <f t="shared" si="27"/>
        <v>0</v>
      </c>
      <c r="X16" s="276">
        <f t="shared" si="27"/>
        <v>0</v>
      </c>
      <c r="Y16" s="276">
        <f t="shared" si="27"/>
        <v>0</v>
      </c>
      <c r="Z16" s="276">
        <f t="shared" si="27"/>
        <v>0</v>
      </c>
      <c r="AA16" s="276">
        <f t="shared" si="27"/>
        <v>0</v>
      </c>
      <c r="AB16" s="276">
        <f t="shared" si="27"/>
        <v>0</v>
      </c>
      <c r="AC16" s="276">
        <f t="shared" si="27"/>
        <v>0</v>
      </c>
      <c r="AD16" s="276">
        <f t="shared" si="27"/>
        <v>0</v>
      </c>
      <c r="AE16" s="276">
        <f t="shared" si="27"/>
        <v>0</v>
      </c>
      <c r="AF16" s="276">
        <f t="shared" si="27"/>
        <v>0</v>
      </c>
      <c r="AG16" s="276">
        <f t="shared" si="27"/>
        <v>0</v>
      </c>
      <c r="AH16" s="276">
        <f t="shared" si="27"/>
        <v>0</v>
      </c>
      <c r="AI16" s="276">
        <f t="shared" si="27"/>
        <v>0</v>
      </c>
    </row>
    <row r="17" spans="1:35" s="94" customFormat="1" x14ac:dyDescent="0.25">
      <c r="A17" s="172"/>
      <c r="B17" s="350" t="s">
        <v>321</v>
      </c>
      <c r="C17" s="274"/>
      <c r="D17" s="275">
        <f t="shared" si="21"/>
        <v>3172028.8400000017</v>
      </c>
      <c r="E17" s="272"/>
      <c r="F17" s="276">
        <f>2%*F7</f>
        <v>69436.116000000009</v>
      </c>
      <c r="G17" s="276">
        <f t="shared" ref="G17:J17" si="28">2%*G7</f>
        <v>69436.116000000009</v>
      </c>
      <c r="H17" s="276">
        <f t="shared" si="28"/>
        <v>69436.116000000009</v>
      </c>
      <c r="I17" s="276">
        <f t="shared" si="28"/>
        <v>69436.116000000009</v>
      </c>
      <c r="J17" s="276">
        <f t="shared" si="28"/>
        <v>69436.116000000009</v>
      </c>
      <c r="K17" s="276">
        <f t="shared" ref="K17:AI17" si="29">2%*K7</f>
        <v>69436.116000000009</v>
      </c>
      <c r="L17" s="276">
        <f t="shared" si="29"/>
        <v>69436.116000000009</v>
      </c>
      <c r="M17" s="276">
        <f t="shared" si="29"/>
        <v>262407.82800000004</v>
      </c>
      <c r="N17" s="276">
        <f t="shared" si="29"/>
        <v>294569.78000000003</v>
      </c>
      <c r="O17" s="276">
        <f t="shared" si="29"/>
        <v>294569.78000000003</v>
      </c>
      <c r="P17" s="276">
        <f t="shared" si="29"/>
        <v>447986.66000000003</v>
      </c>
      <c r="Q17" s="276">
        <f t="shared" si="29"/>
        <v>447986.66000000003</v>
      </c>
      <c r="R17" s="276">
        <f t="shared" si="29"/>
        <v>447986.66000000003</v>
      </c>
      <c r="S17" s="276">
        <f t="shared" si="29"/>
        <v>447986.66000000003</v>
      </c>
      <c r="T17" s="276">
        <f t="shared" si="29"/>
        <v>6068.8571428571431</v>
      </c>
      <c r="U17" s="276">
        <f t="shared" si="29"/>
        <v>6068.8571428571431</v>
      </c>
      <c r="V17" s="276">
        <f t="shared" si="29"/>
        <v>6068.8571428571431</v>
      </c>
      <c r="W17" s="276">
        <f t="shared" si="29"/>
        <v>6068.8571428571431</v>
      </c>
      <c r="X17" s="276">
        <f t="shared" si="29"/>
        <v>6068.8571428571431</v>
      </c>
      <c r="Y17" s="276">
        <f t="shared" si="29"/>
        <v>6068.8571428571431</v>
      </c>
      <c r="Z17" s="276">
        <f t="shared" si="29"/>
        <v>6068.8571428571431</v>
      </c>
      <c r="AA17" s="276">
        <f t="shared" si="29"/>
        <v>0</v>
      </c>
      <c r="AB17" s="276">
        <f t="shared" si="29"/>
        <v>0</v>
      </c>
      <c r="AC17" s="276">
        <f t="shared" si="29"/>
        <v>0</v>
      </c>
      <c r="AD17" s="276">
        <f t="shared" si="29"/>
        <v>0</v>
      </c>
      <c r="AE17" s="276">
        <f t="shared" si="29"/>
        <v>0</v>
      </c>
      <c r="AF17" s="276">
        <f t="shared" si="29"/>
        <v>0</v>
      </c>
      <c r="AG17" s="276">
        <f t="shared" si="29"/>
        <v>0</v>
      </c>
      <c r="AH17" s="276">
        <f t="shared" si="29"/>
        <v>0</v>
      </c>
      <c r="AI17" s="276">
        <f t="shared" si="29"/>
        <v>0</v>
      </c>
    </row>
    <row r="18" spans="1:35" s="94" customFormat="1" x14ac:dyDescent="0.25">
      <c r="A18" s="172">
        <v>2.5</v>
      </c>
      <c r="B18" s="353" t="s">
        <v>351</v>
      </c>
      <c r="C18" s="274"/>
      <c r="D18" s="277">
        <f t="shared" si="21"/>
        <v>6335764.3125000047</v>
      </c>
      <c r="E18" s="272"/>
      <c r="F18" s="278">
        <f t="shared" ref="F18:AG18" si="30">SUM(F19:F20)</f>
        <v>109767.46250000002</v>
      </c>
      <c r="G18" s="278">
        <f t="shared" si="30"/>
        <v>109767.46250000002</v>
      </c>
      <c r="H18" s="278">
        <f t="shared" si="30"/>
        <v>109767.46250000002</v>
      </c>
      <c r="I18" s="278">
        <f t="shared" si="30"/>
        <v>109767.46250000002</v>
      </c>
      <c r="J18" s="278">
        <f t="shared" si="30"/>
        <v>109767.46250000002</v>
      </c>
      <c r="K18" s="278">
        <f t="shared" si="30"/>
        <v>109767.46250000002</v>
      </c>
      <c r="L18" s="463">
        <f t="shared" si="30"/>
        <v>109767.46250000002</v>
      </c>
      <c r="M18" s="278">
        <f t="shared" si="30"/>
        <v>874918.25750000007</v>
      </c>
      <c r="N18" s="278">
        <f t="shared" si="30"/>
        <v>1002443.3900000001</v>
      </c>
      <c r="O18" s="278">
        <f t="shared" si="30"/>
        <v>1002443.3900000001</v>
      </c>
      <c r="P18" s="468">
        <f t="shared" si="30"/>
        <v>658621.13437500014</v>
      </c>
      <c r="Q18" s="278">
        <f t="shared" si="30"/>
        <v>658621.13437500014</v>
      </c>
      <c r="R18" s="278">
        <f t="shared" si="30"/>
        <v>658621.13437500014</v>
      </c>
      <c r="S18" s="278">
        <f t="shared" si="30"/>
        <v>658621.13437500014</v>
      </c>
      <c r="T18" s="278">
        <f t="shared" si="30"/>
        <v>7586.0714285714294</v>
      </c>
      <c r="U18" s="278">
        <f t="shared" si="30"/>
        <v>7586.0714285714294</v>
      </c>
      <c r="V18" s="278">
        <f t="shared" si="30"/>
        <v>7586.0714285714294</v>
      </c>
      <c r="W18" s="278">
        <f t="shared" si="30"/>
        <v>7586.0714285714294</v>
      </c>
      <c r="X18" s="278">
        <f t="shared" si="30"/>
        <v>7586.0714285714294</v>
      </c>
      <c r="Y18" s="278">
        <f t="shared" si="30"/>
        <v>7586.0714285714294</v>
      </c>
      <c r="Z18" s="278">
        <f t="shared" si="30"/>
        <v>7586.0714285714294</v>
      </c>
      <c r="AA18" s="278">
        <f t="shared" si="30"/>
        <v>0</v>
      </c>
      <c r="AB18" s="278">
        <f t="shared" si="30"/>
        <v>0</v>
      </c>
      <c r="AC18" s="278">
        <f t="shared" si="30"/>
        <v>0</v>
      </c>
      <c r="AD18" s="278">
        <f t="shared" si="30"/>
        <v>0</v>
      </c>
      <c r="AE18" s="278">
        <f t="shared" si="30"/>
        <v>0</v>
      </c>
      <c r="AF18" s="278">
        <f t="shared" si="30"/>
        <v>0</v>
      </c>
      <c r="AG18" s="278">
        <f t="shared" si="30"/>
        <v>0</v>
      </c>
      <c r="AH18" s="278">
        <f t="shared" ref="AH18:AI18" si="31">SUM(AH19:AH20)</f>
        <v>0</v>
      </c>
      <c r="AI18" s="278">
        <f t="shared" si="31"/>
        <v>0</v>
      </c>
    </row>
    <row r="19" spans="1:35" s="94" customFormat="1" x14ac:dyDescent="0.25">
      <c r="A19" s="172"/>
      <c r="B19" s="349" t="s">
        <v>302</v>
      </c>
      <c r="C19" s="274"/>
      <c r="D19" s="275">
        <f t="shared" si="21"/>
        <v>2370728.2625000007</v>
      </c>
      <c r="E19" s="272"/>
      <c r="F19" s="348">
        <f>2.5%*F6</f>
        <v>22972.317500000005</v>
      </c>
      <c r="G19" s="348">
        <f t="shared" ref="G19:AI19" si="32">2.5%*G6</f>
        <v>22972.317500000005</v>
      </c>
      <c r="H19" s="348">
        <f t="shared" si="32"/>
        <v>22972.317500000005</v>
      </c>
      <c r="I19" s="348">
        <f t="shared" si="32"/>
        <v>22972.317500000005</v>
      </c>
      <c r="J19" s="348">
        <f t="shared" si="32"/>
        <v>22972.317500000005</v>
      </c>
      <c r="K19" s="348">
        <f t="shared" si="32"/>
        <v>22972.317500000005</v>
      </c>
      <c r="L19" s="348">
        <f t="shared" si="32"/>
        <v>22972.317500000005</v>
      </c>
      <c r="M19" s="348">
        <f t="shared" si="32"/>
        <v>546908.47250000003</v>
      </c>
      <c r="N19" s="348">
        <f t="shared" si="32"/>
        <v>634231.16500000004</v>
      </c>
      <c r="O19" s="348">
        <f t="shared" si="32"/>
        <v>634231.16500000004</v>
      </c>
      <c r="P19" s="348">
        <f t="shared" si="32"/>
        <v>98637.809375000012</v>
      </c>
      <c r="Q19" s="348">
        <f t="shared" si="32"/>
        <v>98637.809375000012</v>
      </c>
      <c r="R19" s="348">
        <f t="shared" si="32"/>
        <v>98637.809375000012</v>
      </c>
      <c r="S19" s="348">
        <f t="shared" si="32"/>
        <v>98637.809375000012</v>
      </c>
      <c r="T19" s="348">
        <f t="shared" si="32"/>
        <v>0</v>
      </c>
      <c r="U19" s="348">
        <f t="shared" si="32"/>
        <v>0</v>
      </c>
      <c r="V19" s="348">
        <f t="shared" si="32"/>
        <v>0</v>
      </c>
      <c r="W19" s="348">
        <f t="shared" si="32"/>
        <v>0</v>
      </c>
      <c r="X19" s="348">
        <f t="shared" si="32"/>
        <v>0</v>
      </c>
      <c r="Y19" s="348">
        <f t="shared" si="32"/>
        <v>0</v>
      </c>
      <c r="Z19" s="348">
        <f t="shared" si="32"/>
        <v>0</v>
      </c>
      <c r="AA19" s="348">
        <f t="shared" si="32"/>
        <v>0</v>
      </c>
      <c r="AB19" s="348">
        <f t="shared" si="32"/>
        <v>0</v>
      </c>
      <c r="AC19" s="348">
        <f t="shared" si="32"/>
        <v>0</v>
      </c>
      <c r="AD19" s="348">
        <f t="shared" si="32"/>
        <v>0</v>
      </c>
      <c r="AE19" s="348">
        <f t="shared" si="32"/>
        <v>0</v>
      </c>
      <c r="AF19" s="348">
        <f t="shared" si="32"/>
        <v>0</v>
      </c>
      <c r="AG19" s="348">
        <f t="shared" si="32"/>
        <v>0</v>
      </c>
      <c r="AH19" s="348">
        <f t="shared" si="32"/>
        <v>0</v>
      </c>
      <c r="AI19" s="348">
        <f t="shared" si="32"/>
        <v>0</v>
      </c>
    </row>
    <row r="20" spans="1:35" s="94" customFormat="1" x14ac:dyDescent="0.25">
      <c r="A20" s="172"/>
      <c r="B20" s="350" t="s">
        <v>321</v>
      </c>
      <c r="C20" s="274"/>
      <c r="D20" s="275">
        <f t="shared" si="21"/>
        <v>3965036.0500000003</v>
      </c>
      <c r="E20" s="272"/>
      <c r="F20" s="348">
        <f>2.5%*F7</f>
        <v>86795.145000000019</v>
      </c>
      <c r="G20" s="348">
        <f t="shared" ref="G20:AI20" si="33">2.5%*G7</f>
        <v>86795.145000000019</v>
      </c>
      <c r="H20" s="348">
        <f t="shared" si="33"/>
        <v>86795.145000000019</v>
      </c>
      <c r="I20" s="348">
        <f t="shared" si="33"/>
        <v>86795.145000000019</v>
      </c>
      <c r="J20" s="348">
        <f t="shared" si="33"/>
        <v>86795.145000000019</v>
      </c>
      <c r="K20" s="348">
        <f t="shared" si="33"/>
        <v>86795.145000000019</v>
      </c>
      <c r="L20" s="348">
        <f t="shared" si="33"/>
        <v>86795.145000000019</v>
      </c>
      <c r="M20" s="348">
        <f t="shared" si="33"/>
        <v>328009.78500000003</v>
      </c>
      <c r="N20" s="348">
        <f t="shared" si="33"/>
        <v>368212.22500000003</v>
      </c>
      <c r="O20" s="348">
        <f t="shared" si="33"/>
        <v>368212.22500000003</v>
      </c>
      <c r="P20" s="348">
        <f t="shared" si="33"/>
        <v>559983.32500000007</v>
      </c>
      <c r="Q20" s="348">
        <f t="shared" si="33"/>
        <v>559983.32500000007</v>
      </c>
      <c r="R20" s="348">
        <f t="shared" si="33"/>
        <v>559983.32500000007</v>
      </c>
      <c r="S20" s="348">
        <f t="shared" si="33"/>
        <v>559983.32500000007</v>
      </c>
      <c r="T20" s="348">
        <f t="shared" si="33"/>
        <v>7586.0714285714294</v>
      </c>
      <c r="U20" s="348">
        <f t="shared" si="33"/>
        <v>7586.0714285714294</v>
      </c>
      <c r="V20" s="348">
        <f t="shared" si="33"/>
        <v>7586.0714285714294</v>
      </c>
      <c r="W20" s="348">
        <f t="shared" si="33"/>
        <v>7586.0714285714294</v>
      </c>
      <c r="X20" s="348">
        <f t="shared" si="33"/>
        <v>7586.0714285714294</v>
      </c>
      <c r="Y20" s="348">
        <f t="shared" si="33"/>
        <v>7586.0714285714294</v>
      </c>
      <c r="Z20" s="348">
        <f t="shared" si="33"/>
        <v>7586.0714285714294</v>
      </c>
      <c r="AA20" s="348">
        <f t="shared" si="33"/>
        <v>0</v>
      </c>
      <c r="AB20" s="348">
        <f t="shared" si="33"/>
        <v>0</v>
      </c>
      <c r="AC20" s="348">
        <f t="shared" si="33"/>
        <v>0</v>
      </c>
      <c r="AD20" s="348">
        <f t="shared" si="33"/>
        <v>0</v>
      </c>
      <c r="AE20" s="348">
        <f t="shared" si="33"/>
        <v>0</v>
      </c>
      <c r="AF20" s="348">
        <f t="shared" si="33"/>
        <v>0</v>
      </c>
      <c r="AG20" s="348">
        <f t="shared" si="33"/>
        <v>0</v>
      </c>
      <c r="AH20" s="348">
        <f t="shared" si="33"/>
        <v>0</v>
      </c>
      <c r="AI20" s="348">
        <f t="shared" si="33"/>
        <v>0</v>
      </c>
    </row>
    <row r="21" spans="1:35" s="509" customFormat="1" x14ac:dyDescent="0.25">
      <c r="A21" s="172">
        <v>1</v>
      </c>
      <c r="B21" s="552" t="s">
        <v>636</v>
      </c>
      <c r="C21" s="274"/>
      <c r="D21" s="275">
        <f>D22+D23</f>
        <v>2534305.725000001</v>
      </c>
      <c r="E21" s="272"/>
      <c r="F21" s="348">
        <f>F22+F23</f>
        <v>43906.985000000008</v>
      </c>
      <c r="G21" s="348">
        <f>G22+G23</f>
        <v>43906.985000000008</v>
      </c>
      <c r="H21" s="348">
        <f>H22+H23</f>
        <v>43906.985000000008</v>
      </c>
      <c r="I21" s="348">
        <f t="shared" ref="I21:AI21" si="34">I22+I23</f>
        <v>43906.985000000008</v>
      </c>
      <c r="J21" s="348">
        <f>J22+J23</f>
        <v>43906.985000000008</v>
      </c>
      <c r="K21" s="348">
        <f t="shared" si="34"/>
        <v>43906.985000000008</v>
      </c>
      <c r="L21" s="348">
        <f t="shared" si="34"/>
        <v>43906.985000000008</v>
      </c>
      <c r="M21" s="348">
        <f t="shared" si="34"/>
        <v>349967.30300000001</v>
      </c>
      <c r="N21" s="348">
        <f t="shared" si="34"/>
        <v>400977.35600000003</v>
      </c>
      <c r="O21" s="348">
        <f t="shared" si="34"/>
        <v>400977.35600000003</v>
      </c>
      <c r="P21" s="348">
        <f t="shared" si="34"/>
        <v>263448.45374999999</v>
      </c>
      <c r="Q21" s="348">
        <f t="shared" si="34"/>
        <v>263448.45374999999</v>
      </c>
      <c r="R21" s="348">
        <f t="shared" si="34"/>
        <v>263448.45374999999</v>
      </c>
      <c r="S21" s="348">
        <f t="shared" si="34"/>
        <v>263448.45374999999</v>
      </c>
      <c r="T21" s="348">
        <f t="shared" si="34"/>
        <v>3034.4285714285716</v>
      </c>
      <c r="U21" s="348">
        <f t="shared" si="34"/>
        <v>3034.4285714285716</v>
      </c>
      <c r="V21" s="348">
        <f t="shared" si="34"/>
        <v>3034.4285714285716</v>
      </c>
      <c r="W21" s="348">
        <f t="shared" si="34"/>
        <v>3034.4285714285716</v>
      </c>
      <c r="X21" s="348">
        <f t="shared" si="34"/>
        <v>3034.4285714285716</v>
      </c>
      <c r="Y21" s="348">
        <f t="shared" si="34"/>
        <v>3034.4285714285716</v>
      </c>
      <c r="Z21" s="348">
        <f t="shared" si="34"/>
        <v>3034.4285714285716</v>
      </c>
      <c r="AA21" s="348">
        <f t="shared" si="34"/>
        <v>0</v>
      </c>
      <c r="AB21" s="348">
        <f t="shared" si="34"/>
        <v>0</v>
      </c>
      <c r="AC21" s="348">
        <f t="shared" si="34"/>
        <v>0</v>
      </c>
      <c r="AD21" s="348">
        <f t="shared" si="34"/>
        <v>0</v>
      </c>
      <c r="AE21" s="348">
        <f t="shared" si="34"/>
        <v>0</v>
      </c>
      <c r="AF21" s="348">
        <f t="shared" si="34"/>
        <v>0</v>
      </c>
      <c r="AG21" s="348">
        <f t="shared" si="34"/>
        <v>0</v>
      </c>
      <c r="AH21" s="348">
        <f t="shared" si="34"/>
        <v>0</v>
      </c>
      <c r="AI21" s="348">
        <f t="shared" si="34"/>
        <v>0</v>
      </c>
    </row>
    <row r="22" spans="1:35" s="509" customFormat="1" x14ac:dyDescent="0.25">
      <c r="A22" s="172"/>
      <c r="B22" s="349" t="s">
        <v>302</v>
      </c>
      <c r="C22" s="274"/>
      <c r="D22" s="275">
        <f>SUM(F22:Z22)</f>
        <v>948291.30500000017</v>
      </c>
      <c r="E22" s="272"/>
      <c r="F22" s="348">
        <f>1%*F6</f>
        <v>9188.9270000000015</v>
      </c>
      <c r="G22" s="348">
        <f t="shared" ref="G22:K22" si="35">1%*G6</f>
        <v>9188.9270000000015</v>
      </c>
      <c r="H22" s="348">
        <f t="shared" si="35"/>
        <v>9188.9270000000015</v>
      </c>
      <c r="I22" s="348">
        <f t="shared" si="35"/>
        <v>9188.9270000000015</v>
      </c>
      <c r="J22" s="348">
        <f t="shared" si="35"/>
        <v>9188.9270000000015</v>
      </c>
      <c r="K22" s="348">
        <f t="shared" si="35"/>
        <v>9188.9270000000015</v>
      </c>
      <c r="L22" s="348">
        <f t="shared" ref="L22:AI22" si="36">1%*L6</f>
        <v>9188.9270000000015</v>
      </c>
      <c r="M22" s="348">
        <f t="shared" si="36"/>
        <v>218763.389</v>
      </c>
      <c r="N22" s="348">
        <f t="shared" si="36"/>
        <v>253692.46599999999</v>
      </c>
      <c r="O22" s="348">
        <f t="shared" si="36"/>
        <v>253692.46599999999</v>
      </c>
      <c r="P22" s="348">
        <f t="shared" si="36"/>
        <v>39455.123749999999</v>
      </c>
      <c r="Q22" s="348">
        <f t="shared" si="36"/>
        <v>39455.123749999999</v>
      </c>
      <c r="R22" s="348">
        <f t="shared" si="36"/>
        <v>39455.123749999999</v>
      </c>
      <c r="S22" s="348">
        <f t="shared" si="36"/>
        <v>39455.123749999999</v>
      </c>
      <c r="T22" s="348">
        <f t="shared" si="36"/>
        <v>0</v>
      </c>
      <c r="U22" s="348">
        <f t="shared" si="36"/>
        <v>0</v>
      </c>
      <c r="V22" s="348">
        <f t="shared" si="36"/>
        <v>0</v>
      </c>
      <c r="W22" s="348">
        <f t="shared" si="36"/>
        <v>0</v>
      </c>
      <c r="X22" s="348">
        <f t="shared" si="36"/>
        <v>0</v>
      </c>
      <c r="Y22" s="348">
        <f t="shared" si="36"/>
        <v>0</v>
      </c>
      <c r="Z22" s="348">
        <f t="shared" si="36"/>
        <v>0</v>
      </c>
      <c r="AA22" s="348">
        <f t="shared" si="36"/>
        <v>0</v>
      </c>
      <c r="AB22" s="348">
        <f t="shared" si="36"/>
        <v>0</v>
      </c>
      <c r="AC22" s="348">
        <f t="shared" si="36"/>
        <v>0</v>
      </c>
      <c r="AD22" s="348">
        <f t="shared" si="36"/>
        <v>0</v>
      </c>
      <c r="AE22" s="348">
        <f t="shared" si="36"/>
        <v>0</v>
      </c>
      <c r="AF22" s="348">
        <f t="shared" si="36"/>
        <v>0</v>
      </c>
      <c r="AG22" s="348">
        <f t="shared" si="36"/>
        <v>0</v>
      </c>
      <c r="AH22" s="348">
        <f t="shared" si="36"/>
        <v>0</v>
      </c>
      <c r="AI22" s="348">
        <f t="shared" si="36"/>
        <v>0</v>
      </c>
    </row>
    <row r="23" spans="1:35" s="509" customFormat="1" x14ac:dyDescent="0.25">
      <c r="A23" s="172"/>
      <c r="B23" s="350" t="s">
        <v>321</v>
      </c>
      <c r="C23" s="274"/>
      <c r="D23" s="275">
        <f>SUM(F23:Z23)</f>
        <v>1586014.4200000009</v>
      </c>
      <c r="E23" s="272"/>
      <c r="F23" s="348">
        <f>1%*F7</f>
        <v>34718.058000000005</v>
      </c>
      <c r="G23" s="348">
        <f t="shared" ref="G23:K23" si="37">1%*G7</f>
        <v>34718.058000000005</v>
      </c>
      <c r="H23" s="348">
        <f t="shared" si="37"/>
        <v>34718.058000000005</v>
      </c>
      <c r="I23" s="348">
        <f t="shared" si="37"/>
        <v>34718.058000000005</v>
      </c>
      <c r="J23" s="348">
        <f t="shared" si="37"/>
        <v>34718.058000000005</v>
      </c>
      <c r="K23" s="348">
        <f t="shared" si="37"/>
        <v>34718.058000000005</v>
      </c>
      <c r="L23" s="348">
        <f t="shared" ref="L23:AI23" si="38">1%*L7</f>
        <v>34718.058000000005</v>
      </c>
      <c r="M23" s="348">
        <f t="shared" si="38"/>
        <v>131203.91400000002</v>
      </c>
      <c r="N23" s="348">
        <f t="shared" si="38"/>
        <v>147284.89000000001</v>
      </c>
      <c r="O23" s="348">
        <f t="shared" si="38"/>
        <v>147284.89000000001</v>
      </c>
      <c r="P23" s="348">
        <f t="shared" si="38"/>
        <v>223993.33000000002</v>
      </c>
      <c r="Q23" s="348">
        <f t="shared" si="38"/>
        <v>223993.33000000002</v>
      </c>
      <c r="R23" s="348">
        <f t="shared" si="38"/>
        <v>223993.33000000002</v>
      </c>
      <c r="S23" s="348">
        <f t="shared" si="38"/>
        <v>223993.33000000002</v>
      </c>
      <c r="T23" s="348">
        <f t="shared" si="38"/>
        <v>3034.4285714285716</v>
      </c>
      <c r="U23" s="348">
        <f t="shared" si="38"/>
        <v>3034.4285714285716</v>
      </c>
      <c r="V23" s="348">
        <f t="shared" si="38"/>
        <v>3034.4285714285716</v>
      </c>
      <c r="W23" s="348">
        <f t="shared" si="38"/>
        <v>3034.4285714285716</v>
      </c>
      <c r="X23" s="348">
        <f t="shared" si="38"/>
        <v>3034.4285714285716</v>
      </c>
      <c r="Y23" s="348">
        <f t="shared" si="38"/>
        <v>3034.4285714285716</v>
      </c>
      <c r="Z23" s="348">
        <f t="shared" si="38"/>
        <v>3034.4285714285716</v>
      </c>
      <c r="AA23" s="348">
        <f t="shared" si="38"/>
        <v>0</v>
      </c>
      <c r="AB23" s="348">
        <f t="shared" si="38"/>
        <v>0</v>
      </c>
      <c r="AC23" s="348">
        <f t="shared" si="38"/>
        <v>0</v>
      </c>
      <c r="AD23" s="348">
        <f t="shared" si="38"/>
        <v>0</v>
      </c>
      <c r="AE23" s="348">
        <f t="shared" si="38"/>
        <v>0</v>
      </c>
      <c r="AF23" s="348">
        <f t="shared" si="38"/>
        <v>0</v>
      </c>
      <c r="AG23" s="348">
        <f t="shared" si="38"/>
        <v>0</v>
      </c>
      <c r="AH23" s="348">
        <f t="shared" si="38"/>
        <v>0</v>
      </c>
      <c r="AI23" s="348">
        <f t="shared" si="38"/>
        <v>0</v>
      </c>
    </row>
    <row r="24" spans="1:35" s="94" customFormat="1" x14ac:dyDescent="0.25">
      <c r="A24" s="172">
        <v>0.6</v>
      </c>
      <c r="B24" s="352" t="s">
        <v>352</v>
      </c>
      <c r="C24" s="274"/>
      <c r="D24" s="277">
        <f t="shared" si="21"/>
        <v>1520583.4349999994</v>
      </c>
      <c r="E24" s="272"/>
      <c r="F24" s="278">
        <f t="shared" ref="F24" si="39">SUM(F25:F26)</f>
        <v>26344.190999999999</v>
      </c>
      <c r="G24" s="278">
        <f t="shared" ref="G24" si="40">SUM(G25:G26)</f>
        <v>26344.190999999999</v>
      </c>
      <c r="H24" s="278">
        <f t="shared" ref="H24" si="41">SUM(H25:H26)</f>
        <v>26344.190999999999</v>
      </c>
      <c r="I24" s="278">
        <f t="shared" ref="I24" si="42">SUM(I25:I26)</f>
        <v>26344.190999999999</v>
      </c>
      <c r="J24" s="278">
        <f t="shared" ref="J24" si="43">SUM(J25:J26)</f>
        <v>26344.190999999999</v>
      </c>
      <c r="K24" s="278">
        <f t="shared" ref="K24" si="44">SUM(K25:K26)</f>
        <v>26344.190999999999</v>
      </c>
      <c r="L24" s="463">
        <f t="shared" ref="L24" si="45">SUM(L25:L26)</f>
        <v>26344.190999999999</v>
      </c>
      <c r="M24" s="278">
        <f t="shared" ref="M24" si="46">SUM(M25:M26)</f>
        <v>209980.38179999997</v>
      </c>
      <c r="N24" s="278">
        <f t="shared" ref="N24" si="47">SUM(N25:N26)</f>
        <v>240586.4136</v>
      </c>
      <c r="O24" s="278">
        <f t="shared" ref="O24" si="48">SUM(O25:O26)</f>
        <v>240586.4136</v>
      </c>
      <c r="P24" s="468">
        <f t="shared" ref="P24" si="49">SUM(P25:P26)</f>
        <v>158069.07225</v>
      </c>
      <c r="Q24" s="278">
        <f t="shared" ref="Q24" si="50">SUM(Q25:Q26)</f>
        <v>158069.07225</v>
      </c>
      <c r="R24" s="278">
        <f t="shared" ref="R24" si="51">SUM(R25:R26)</f>
        <v>158069.07225</v>
      </c>
      <c r="S24" s="278">
        <f t="shared" ref="S24" si="52">SUM(S25:S26)</f>
        <v>158069.07225</v>
      </c>
      <c r="T24" s="278">
        <f t="shared" ref="T24" si="53">SUM(T25:T26)</f>
        <v>1820.6571428571431</v>
      </c>
      <c r="U24" s="278">
        <f t="shared" ref="U24" si="54">SUM(U25:U26)</f>
        <v>1820.6571428571431</v>
      </c>
      <c r="V24" s="278">
        <f t="shared" ref="V24" si="55">SUM(V25:V26)</f>
        <v>1820.6571428571431</v>
      </c>
      <c r="W24" s="278">
        <f t="shared" ref="W24" si="56">SUM(W25:W26)</f>
        <v>1820.6571428571431</v>
      </c>
      <c r="X24" s="278">
        <f t="shared" ref="X24" si="57">SUM(X25:X26)</f>
        <v>1820.6571428571431</v>
      </c>
      <c r="Y24" s="278">
        <f t="shared" ref="Y24" si="58">SUM(Y25:Y26)</f>
        <v>1820.6571428571431</v>
      </c>
      <c r="Z24" s="278">
        <f t="shared" ref="Z24" si="59">SUM(Z25:Z26)</f>
        <v>1820.6571428571431</v>
      </c>
      <c r="AA24" s="278">
        <f t="shared" ref="AA24" si="60">SUM(AA25:AA26)</f>
        <v>0</v>
      </c>
      <c r="AB24" s="278">
        <f t="shared" ref="AB24" si="61">SUM(AB25:AB26)</f>
        <v>0</v>
      </c>
      <c r="AC24" s="278">
        <f t="shared" ref="AC24" si="62">SUM(AC25:AC26)</f>
        <v>0</v>
      </c>
      <c r="AD24" s="278">
        <f t="shared" ref="AD24" si="63">SUM(AD25:AD26)</f>
        <v>0</v>
      </c>
      <c r="AE24" s="278">
        <f t="shared" ref="AE24" si="64">SUM(AE25:AE26)</f>
        <v>0</v>
      </c>
      <c r="AF24" s="278">
        <f t="shared" ref="AF24" si="65">SUM(AF25:AF26)</f>
        <v>0</v>
      </c>
      <c r="AG24" s="278">
        <f t="shared" ref="AG24:AI24" si="66">SUM(AG25:AG26)</f>
        <v>0</v>
      </c>
      <c r="AH24" s="278">
        <f t="shared" si="66"/>
        <v>0</v>
      </c>
      <c r="AI24" s="278">
        <f t="shared" si="66"/>
        <v>0</v>
      </c>
    </row>
    <row r="25" spans="1:35" s="94" customFormat="1" x14ac:dyDescent="0.25">
      <c r="A25" s="172"/>
      <c r="B25" s="349" t="s">
        <v>302</v>
      </c>
      <c r="C25" s="274"/>
      <c r="D25" s="275">
        <f t="shared" si="21"/>
        <v>568974.78299999982</v>
      </c>
      <c r="E25" s="272"/>
      <c r="F25" s="276">
        <f>F6*0.6%</f>
        <v>5513.3562000000002</v>
      </c>
      <c r="G25" s="276">
        <f t="shared" ref="G25:K25" si="67">G6*0.6%</f>
        <v>5513.3562000000002</v>
      </c>
      <c r="H25" s="276">
        <f t="shared" si="67"/>
        <v>5513.3562000000002</v>
      </c>
      <c r="I25" s="276">
        <f t="shared" si="67"/>
        <v>5513.3562000000002</v>
      </c>
      <c r="J25" s="276">
        <f t="shared" si="67"/>
        <v>5513.3562000000002</v>
      </c>
      <c r="K25" s="276">
        <f t="shared" si="67"/>
        <v>5513.3562000000002</v>
      </c>
      <c r="L25" s="276">
        <f t="shared" ref="L25:AI25" si="68">L6*0.6%</f>
        <v>5513.3562000000002</v>
      </c>
      <c r="M25" s="276">
        <f t="shared" si="68"/>
        <v>131258.03339999999</v>
      </c>
      <c r="N25" s="276">
        <f t="shared" si="68"/>
        <v>152215.47959999999</v>
      </c>
      <c r="O25" s="276">
        <f t="shared" si="68"/>
        <v>152215.47959999999</v>
      </c>
      <c r="P25" s="276">
        <f t="shared" si="68"/>
        <v>23673.074250000001</v>
      </c>
      <c r="Q25" s="276">
        <f t="shared" si="68"/>
        <v>23673.074250000001</v>
      </c>
      <c r="R25" s="276">
        <f t="shared" si="68"/>
        <v>23673.074250000001</v>
      </c>
      <c r="S25" s="276">
        <f t="shared" si="68"/>
        <v>23673.074250000001</v>
      </c>
      <c r="T25" s="276">
        <f t="shared" si="68"/>
        <v>0</v>
      </c>
      <c r="U25" s="276">
        <f t="shared" si="68"/>
        <v>0</v>
      </c>
      <c r="V25" s="276">
        <f t="shared" si="68"/>
        <v>0</v>
      </c>
      <c r="W25" s="276">
        <f t="shared" si="68"/>
        <v>0</v>
      </c>
      <c r="X25" s="276">
        <f t="shared" si="68"/>
        <v>0</v>
      </c>
      <c r="Y25" s="276">
        <f t="shared" si="68"/>
        <v>0</v>
      </c>
      <c r="Z25" s="276">
        <f t="shared" si="68"/>
        <v>0</v>
      </c>
      <c r="AA25" s="276">
        <f t="shared" si="68"/>
        <v>0</v>
      </c>
      <c r="AB25" s="276">
        <f t="shared" si="68"/>
        <v>0</v>
      </c>
      <c r="AC25" s="276">
        <f t="shared" si="68"/>
        <v>0</v>
      </c>
      <c r="AD25" s="276">
        <f t="shared" si="68"/>
        <v>0</v>
      </c>
      <c r="AE25" s="276">
        <f t="shared" si="68"/>
        <v>0</v>
      </c>
      <c r="AF25" s="276">
        <f t="shared" si="68"/>
        <v>0</v>
      </c>
      <c r="AG25" s="276">
        <f t="shared" si="68"/>
        <v>0</v>
      </c>
      <c r="AH25" s="276">
        <f t="shared" si="68"/>
        <v>0</v>
      </c>
      <c r="AI25" s="276">
        <f t="shared" si="68"/>
        <v>0</v>
      </c>
    </row>
    <row r="26" spans="1:35" s="94" customFormat="1" x14ac:dyDescent="0.25">
      <c r="A26" s="172"/>
      <c r="B26" s="350" t="s">
        <v>321</v>
      </c>
      <c r="C26" s="274"/>
      <c r="D26" s="275">
        <f t="shared" si="21"/>
        <v>951608.65199999965</v>
      </c>
      <c r="E26" s="272"/>
      <c r="F26" s="276">
        <f>F7*0.6%</f>
        <v>20830.834800000001</v>
      </c>
      <c r="G26" s="276">
        <f t="shared" ref="G26:K26" si="69">G7*0.6%</f>
        <v>20830.834800000001</v>
      </c>
      <c r="H26" s="276">
        <f t="shared" si="69"/>
        <v>20830.834800000001</v>
      </c>
      <c r="I26" s="276">
        <f t="shared" si="69"/>
        <v>20830.834800000001</v>
      </c>
      <c r="J26" s="276">
        <f t="shared" si="69"/>
        <v>20830.834800000001</v>
      </c>
      <c r="K26" s="276">
        <f t="shared" si="69"/>
        <v>20830.834800000001</v>
      </c>
      <c r="L26" s="276">
        <f t="shared" ref="L26:AI26" si="70">L7*0.6%</f>
        <v>20830.834800000001</v>
      </c>
      <c r="M26" s="276">
        <f t="shared" si="70"/>
        <v>78722.348400000003</v>
      </c>
      <c r="N26" s="276">
        <f t="shared" si="70"/>
        <v>88370.934000000008</v>
      </c>
      <c r="O26" s="276">
        <f t="shared" si="70"/>
        <v>88370.934000000008</v>
      </c>
      <c r="P26" s="276">
        <f t="shared" si="70"/>
        <v>134395.99799999999</v>
      </c>
      <c r="Q26" s="276">
        <f t="shared" si="70"/>
        <v>134395.99799999999</v>
      </c>
      <c r="R26" s="276">
        <f t="shared" si="70"/>
        <v>134395.99799999999</v>
      </c>
      <c r="S26" s="276">
        <f t="shared" si="70"/>
        <v>134395.99799999999</v>
      </c>
      <c r="T26" s="276">
        <f t="shared" si="70"/>
        <v>1820.6571428571431</v>
      </c>
      <c r="U26" s="276">
        <f t="shared" si="70"/>
        <v>1820.6571428571431</v>
      </c>
      <c r="V26" s="276">
        <f t="shared" si="70"/>
        <v>1820.6571428571431</v>
      </c>
      <c r="W26" s="276">
        <f t="shared" si="70"/>
        <v>1820.6571428571431</v>
      </c>
      <c r="X26" s="276">
        <f t="shared" si="70"/>
        <v>1820.6571428571431</v>
      </c>
      <c r="Y26" s="276">
        <f t="shared" si="70"/>
        <v>1820.6571428571431</v>
      </c>
      <c r="Z26" s="276">
        <f t="shared" si="70"/>
        <v>1820.6571428571431</v>
      </c>
      <c r="AA26" s="276">
        <f t="shared" si="70"/>
        <v>0</v>
      </c>
      <c r="AB26" s="276">
        <f t="shared" si="70"/>
        <v>0</v>
      </c>
      <c r="AC26" s="276">
        <f t="shared" si="70"/>
        <v>0</v>
      </c>
      <c r="AD26" s="276">
        <f t="shared" si="70"/>
        <v>0</v>
      </c>
      <c r="AE26" s="276">
        <f t="shared" si="70"/>
        <v>0</v>
      </c>
      <c r="AF26" s="276">
        <f t="shared" si="70"/>
        <v>0</v>
      </c>
      <c r="AG26" s="276">
        <f t="shared" si="70"/>
        <v>0</v>
      </c>
      <c r="AH26" s="276">
        <f t="shared" si="70"/>
        <v>0</v>
      </c>
      <c r="AI26" s="276">
        <f t="shared" si="70"/>
        <v>0</v>
      </c>
    </row>
    <row r="27" spans="1:35" s="94" customFormat="1" x14ac:dyDescent="0.25">
      <c r="A27" s="172">
        <v>10</v>
      </c>
      <c r="B27" s="351" t="s">
        <v>353</v>
      </c>
      <c r="C27" s="274"/>
      <c r="D27" s="277">
        <f t="shared" si="21"/>
        <v>27370501.829999987</v>
      </c>
      <c r="E27" s="272"/>
      <c r="F27" s="278">
        <f t="shared" ref="F27" si="71">SUM(F28:F29)</f>
        <v>474195.43800000008</v>
      </c>
      <c r="G27" s="278">
        <f t="shared" ref="G27" si="72">SUM(G28:G29)</f>
        <v>474195.43800000008</v>
      </c>
      <c r="H27" s="278">
        <f t="shared" ref="H27" si="73">SUM(H28:H29)</f>
        <v>474195.43800000008</v>
      </c>
      <c r="I27" s="278">
        <f t="shared" ref="I27" si="74">SUM(I28:I29)</f>
        <v>474195.43800000008</v>
      </c>
      <c r="J27" s="278">
        <f t="shared" ref="J27" si="75">SUM(J28:J29)</f>
        <v>474195.43800000008</v>
      </c>
      <c r="K27" s="278">
        <f t="shared" ref="K27" si="76">SUM(K28:K29)</f>
        <v>474195.43800000008</v>
      </c>
      <c r="L27" s="463">
        <f t="shared" ref="L27" si="77">SUM(L28:L29)</f>
        <v>474195.43800000008</v>
      </c>
      <c r="M27" s="278">
        <f t="shared" ref="M27" si="78">SUM(M28:M29)</f>
        <v>3779646.8724000002</v>
      </c>
      <c r="N27" s="278">
        <f t="shared" ref="N27" si="79">SUM(N28:N29)</f>
        <v>4330555.4447999997</v>
      </c>
      <c r="O27" s="278">
        <f t="shared" ref="O27" si="80">SUM(O28:O29)</f>
        <v>4330555.4447999997</v>
      </c>
      <c r="P27" s="468">
        <f t="shared" ref="P27" si="81">SUM(P28:P29)</f>
        <v>2845243.3004999999</v>
      </c>
      <c r="Q27" s="278">
        <f t="shared" ref="Q27" si="82">SUM(Q28:Q29)</f>
        <v>2845243.3004999999</v>
      </c>
      <c r="R27" s="278">
        <f t="shared" ref="R27" si="83">SUM(R28:R29)</f>
        <v>2845243.3004999999</v>
      </c>
      <c r="S27" s="278">
        <f t="shared" ref="S27" si="84">SUM(S28:S29)</f>
        <v>2845243.3004999999</v>
      </c>
      <c r="T27" s="278">
        <f t="shared" ref="T27" si="85">SUM(T28:T29)</f>
        <v>32771.828571428574</v>
      </c>
      <c r="U27" s="278">
        <f t="shared" ref="U27" si="86">SUM(U28:U29)</f>
        <v>32771.828571428574</v>
      </c>
      <c r="V27" s="278">
        <f t="shared" ref="V27" si="87">SUM(V28:V29)</f>
        <v>32771.828571428574</v>
      </c>
      <c r="W27" s="278">
        <f t="shared" ref="W27" si="88">SUM(W28:W29)</f>
        <v>32771.828571428574</v>
      </c>
      <c r="X27" s="278">
        <f t="shared" ref="X27" si="89">SUM(X28:X29)</f>
        <v>32771.828571428574</v>
      </c>
      <c r="Y27" s="278">
        <f t="shared" ref="Y27" si="90">SUM(Y28:Y29)</f>
        <v>32771.828571428574</v>
      </c>
      <c r="Z27" s="278">
        <f t="shared" ref="Z27" si="91">SUM(Z28:Z29)</f>
        <v>32771.828571428574</v>
      </c>
      <c r="AA27" s="278">
        <f t="shared" ref="AA27" si="92">SUM(AA28:AA29)</f>
        <v>0</v>
      </c>
      <c r="AB27" s="278">
        <f t="shared" ref="AB27" si="93">SUM(AB28:AB29)</f>
        <v>0</v>
      </c>
      <c r="AC27" s="278">
        <f t="shared" ref="AC27" si="94">SUM(AC28:AC29)</f>
        <v>0</v>
      </c>
      <c r="AD27" s="278">
        <f t="shared" ref="AD27" si="95">SUM(AD28:AD29)</f>
        <v>0</v>
      </c>
      <c r="AE27" s="278">
        <f t="shared" ref="AE27" si="96">SUM(AE28:AE29)</f>
        <v>0</v>
      </c>
      <c r="AF27" s="278">
        <f t="shared" ref="AF27" si="97">SUM(AF28:AF29)</f>
        <v>0</v>
      </c>
      <c r="AG27" s="278">
        <f t="shared" ref="AG27:AI27" si="98">SUM(AG28:AG29)</f>
        <v>0</v>
      </c>
      <c r="AH27" s="278">
        <f t="shared" si="98"/>
        <v>0</v>
      </c>
      <c r="AI27" s="278">
        <f t="shared" si="98"/>
        <v>0</v>
      </c>
    </row>
    <row r="28" spans="1:35" s="94" customFormat="1" x14ac:dyDescent="0.25">
      <c r="A28" s="172"/>
      <c r="B28" s="349" t="s">
        <v>302</v>
      </c>
      <c r="C28" s="274"/>
      <c r="D28" s="275">
        <f t="shared" si="21"/>
        <v>10241546.094000001</v>
      </c>
      <c r="E28" s="272"/>
      <c r="F28" s="542">
        <f>(F6+F10+F13+F16+F19)*10%</f>
        <v>99240.411600000021</v>
      </c>
      <c r="G28" s="276">
        <f t="shared" ref="G28:K28" si="99">(G6+G10+G13+G16+G19)*10%</f>
        <v>99240.411600000021</v>
      </c>
      <c r="H28" s="276">
        <f t="shared" si="99"/>
        <v>99240.411600000021</v>
      </c>
      <c r="I28" s="276">
        <f t="shared" si="99"/>
        <v>99240.411600000021</v>
      </c>
      <c r="J28" s="276">
        <f t="shared" si="99"/>
        <v>99240.411600000021</v>
      </c>
      <c r="K28" s="276">
        <f t="shared" si="99"/>
        <v>99240.411600000021</v>
      </c>
      <c r="L28" s="276">
        <f t="shared" ref="L28:AI28" si="100">(L6+L10+L13+L16+L19)*10%</f>
        <v>99240.411600000021</v>
      </c>
      <c r="M28" s="276">
        <f t="shared" si="100"/>
        <v>2362644.6011999999</v>
      </c>
      <c r="N28" s="276">
        <f t="shared" si="100"/>
        <v>2739878.6327999998</v>
      </c>
      <c r="O28" s="276">
        <f t="shared" si="100"/>
        <v>2739878.6327999998</v>
      </c>
      <c r="P28" s="276">
        <f t="shared" si="100"/>
        <v>426115.33650000003</v>
      </c>
      <c r="Q28" s="276">
        <f t="shared" si="100"/>
        <v>426115.33650000003</v>
      </c>
      <c r="R28" s="276">
        <f t="shared" si="100"/>
        <v>426115.33650000003</v>
      </c>
      <c r="S28" s="276">
        <f t="shared" si="100"/>
        <v>426115.33650000003</v>
      </c>
      <c r="T28" s="276">
        <f t="shared" si="100"/>
        <v>0</v>
      </c>
      <c r="U28" s="276">
        <f t="shared" si="100"/>
        <v>0</v>
      </c>
      <c r="V28" s="276">
        <f t="shared" si="100"/>
        <v>0</v>
      </c>
      <c r="W28" s="276">
        <f t="shared" si="100"/>
        <v>0</v>
      </c>
      <c r="X28" s="276">
        <f t="shared" si="100"/>
        <v>0</v>
      </c>
      <c r="Y28" s="276">
        <f t="shared" si="100"/>
        <v>0</v>
      </c>
      <c r="Z28" s="276">
        <f t="shared" si="100"/>
        <v>0</v>
      </c>
      <c r="AA28" s="276">
        <f t="shared" si="100"/>
        <v>0</v>
      </c>
      <c r="AB28" s="276">
        <f t="shared" si="100"/>
        <v>0</v>
      </c>
      <c r="AC28" s="276">
        <f t="shared" si="100"/>
        <v>0</v>
      </c>
      <c r="AD28" s="276">
        <f t="shared" si="100"/>
        <v>0</v>
      </c>
      <c r="AE28" s="276">
        <f t="shared" si="100"/>
        <v>0</v>
      </c>
      <c r="AF28" s="276">
        <f t="shared" si="100"/>
        <v>0</v>
      </c>
      <c r="AG28" s="276">
        <f t="shared" si="100"/>
        <v>0</v>
      </c>
      <c r="AH28" s="276">
        <f t="shared" si="100"/>
        <v>0</v>
      </c>
      <c r="AI28" s="276">
        <f t="shared" si="100"/>
        <v>0</v>
      </c>
    </row>
    <row r="29" spans="1:35" s="94" customFormat="1" x14ac:dyDescent="0.25">
      <c r="A29" s="172"/>
      <c r="B29" s="350" t="s">
        <v>321</v>
      </c>
      <c r="C29" s="274"/>
      <c r="D29" s="275">
        <f t="shared" si="21"/>
        <v>17128955.73599999</v>
      </c>
      <c r="E29" s="272"/>
      <c r="F29" s="276">
        <f>(F7+F11+F14+F17+F20)*10%</f>
        <v>374955.02640000009</v>
      </c>
      <c r="G29" s="276">
        <f t="shared" ref="G29:K29" si="101">(G7+G11+G14+G17+G20)*10%</f>
        <v>374955.02640000009</v>
      </c>
      <c r="H29" s="276">
        <f t="shared" si="101"/>
        <v>374955.02640000009</v>
      </c>
      <c r="I29" s="276">
        <f t="shared" si="101"/>
        <v>374955.02640000009</v>
      </c>
      <c r="J29" s="276">
        <f t="shared" si="101"/>
        <v>374955.02640000009</v>
      </c>
      <c r="K29" s="276">
        <f t="shared" si="101"/>
        <v>374955.02640000009</v>
      </c>
      <c r="L29" s="276">
        <f t="shared" ref="L29:AI29" si="102">(L7+L11+L14+L17+L20)*10%</f>
        <v>374955.02640000009</v>
      </c>
      <c r="M29" s="276">
        <f t="shared" si="102"/>
        <v>1417002.2712000003</v>
      </c>
      <c r="N29" s="276">
        <f t="shared" si="102"/>
        <v>1590676.8119999999</v>
      </c>
      <c r="O29" s="276">
        <f t="shared" si="102"/>
        <v>1590676.8119999999</v>
      </c>
      <c r="P29" s="276">
        <f t="shared" si="102"/>
        <v>2419127.9639999997</v>
      </c>
      <c r="Q29" s="276">
        <f t="shared" si="102"/>
        <v>2419127.9639999997</v>
      </c>
      <c r="R29" s="276">
        <f t="shared" si="102"/>
        <v>2419127.9639999997</v>
      </c>
      <c r="S29" s="276">
        <f t="shared" si="102"/>
        <v>2419127.9639999997</v>
      </c>
      <c r="T29" s="276">
        <f t="shared" si="102"/>
        <v>32771.828571428574</v>
      </c>
      <c r="U29" s="276">
        <f t="shared" si="102"/>
        <v>32771.828571428574</v>
      </c>
      <c r="V29" s="276">
        <f t="shared" si="102"/>
        <v>32771.828571428574</v>
      </c>
      <c r="W29" s="276">
        <f t="shared" si="102"/>
        <v>32771.828571428574</v>
      </c>
      <c r="X29" s="276">
        <f t="shared" si="102"/>
        <v>32771.828571428574</v>
      </c>
      <c r="Y29" s="276">
        <f t="shared" si="102"/>
        <v>32771.828571428574</v>
      </c>
      <c r="Z29" s="276">
        <f t="shared" si="102"/>
        <v>32771.828571428574</v>
      </c>
      <c r="AA29" s="276">
        <f t="shared" si="102"/>
        <v>0</v>
      </c>
      <c r="AB29" s="276">
        <f t="shared" si="102"/>
        <v>0</v>
      </c>
      <c r="AC29" s="276">
        <f t="shared" si="102"/>
        <v>0</v>
      </c>
      <c r="AD29" s="276">
        <f t="shared" si="102"/>
        <v>0</v>
      </c>
      <c r="AE29" s="276">
        <f t="shared" si="102"/>
        <v>0</v>
      </c>
      <c r="AF29" s="276">
        <f t="shared" si="102"/>
        <v>0</v>
      </c>
      <c r="AG29" s="276">
        <f t="shared" si="102"/>
        <v>0</v>
      </c>
      <c r="AH29" s="276">
        <f t="shared" si="102"/>
        <v>0</v>
      </c>
      <c r="AI29" s="276">
        <f t="shared" si="102"/>
        <v>0</v>
      </c>
    </row>
    <row r="30" spans="1:35" s="94" customFormat="1" x14ac:dyDescent="0.25">
      <c r="A30" s="172">
        <v>0.85</v>
      </c>
      <c r="B30" s="351" t="s">
        <v>526</v>
      </c>
      <c r="C30" s="274"/>
      <c r="D30" s="277">
        <f t="shared" si="21"/>
        <v>2154159.8662500009</v>
      </c>
      <c r="E30" s="340"/>
      <c r="F30" s="557">
        <f>F31+F32</f>
        <v>37320.937250000003</v>
      </c>
      <c r="G30" s="557">
        <f t="shared" ref="G30:Z30" si="103">G31+G32</f>
        <v>37320.937250000003</v>
      </c>
      <c r="H30" s="557">
        <f t="shared" si="103"/>
        <v>37320.937250000003</v>
      </c>
      <c r="I30" s="557">
        <f t="shared" si="103"/>
        <v>37320.937250000003</v>
      </c>
      <c r="J30" s="557">
        <f t="shared" si="103"/>
        <v>37320.937250000003</v>
      </c>
      <c r="K30" s="557">
        <f t="shared" si="103"/>
        <v>37320.937250000003</v>
      </c>
      <c r="L30" s="557">
        <f t="shared" si="103"/>
        <v>37320.937250000003</v>
      </c>
      <c r="M30" s="557">
        <f t="shared" si="103"/>
        <v>297472.20755000005</v>
      </c>
      <c r="N30" s="557">
        <f t="shared" si="103"/>
        <v>340830.75260000001</v>
      </c>
      <c r="O30" s="557">
        <f t="shared" si="103"/>
        <v>340830.75260000001</v>
      </c>
      <c r="P30" s="557">
        <f t="shared" si="103"/>
        <v>223931.18568750002</v>
      </c>
      <c r="Q30" s="557">
        <f t="shared" si="103"/>
        <v>223931.18568750002</v>
      </c>
      <c r="R30" s="557">
        <f t="shared" si="103"/>
        <v>223931.18568750002</v>
      </c>
      <c r="S30" s="557">
        <f t="shared" si="103"/>
        <v>223931.18568750002</v>
      </c>
      <c r="T30" s="557">
        <f t="shared" si="103"/>
        <v>2579.264285714286</v>
      </c>
      <c r="U30" s="557">
        <f t="shared" si="103"/>
        <v>2579.264285714286</v>
      </c>
      <c r="V30" s="557">
        <f t="shared" si="103"/>
        <v>2579.264285714286</v>
      </c>
      <c r="W30" s="557">
        <f t="shared" si="103"/>
        <v>2579.264285714286</v>
      </c>
      <c r="X30" s="557">
        <f t="shared" si="103"/>
        <v>2579.264285714286</v>
      </c>
      <c r="Y30" s="557">
        <f t="shared" si="103"/>
        <v>2579.264285714286</v>
      </c>
      <c r="Z30" s="557">
        <f t="shared" si="103"/>
        <v>2579.264285714286</v>
      </c>
      <c r="AA30" s="278">
        <f t="shared" ref="AA30:AG30" si="104">AA8*1%</f>
        <v>0</v>
      </c>
      <c r="AB30" s="278">
        <f t="shared" si="104"/>
        <v>0</v>
      </c>
      <c r="AC30" s="278">
        <f t="shared" si="104"/>
        <v>0</v>
      </c>
      <c r="AD30" s="278">
        <f t="shared" si="104"/>
        <v>0</v>
      </c>
      <c r="AE30" s="278">
        <f t="shared" si="104"/>
        <v>0</v>
      </c>
      <c r="AF30" s="278">
        <f t="shared" si="104"/>
        <v>0</v>
      </c>
      <c r="AG30" s="278">
        <f t="shared" si="104"/>
        <v>0</v>
      </c>
      <c r="AH30" s="278">
        <f t="shared" ref="AH30:AI30" si="105">AH8*1%</f>
        <v>0</v>
      </c>
      <c r="AI30" s="278">
        <f t="shared" si="105"/>
        <v>0</v>
      </c>
    </row>
    <row r="31" spans="1:35" s="373" customFormat="1" x14ac:dyDescent="0.25">
      <c r="A31" s="172"/>
      <c r="B31" s="349" t="s">
        <v>302</v>
      </c>
      <c r="C31" s="274"/>
      <c r="D31" s="277">
        <f t="shared" si="21"/>
        <v>806047.60924999998</v>
      </c>
      <c r="E31" s="340"/>
      <c r="F31" s="478">
        <f>F6*0.85%</f>
        <v>7810.587950000001</v>
      </c>
      <c r="G31" s="478">
        <f t="shared" ref="G31:AI31" si="106">G6*0.85%</f>
        <v>7810.587950000001</v>
      </c>
      <c r="H31" s="478">
        <f t="shared" si="106"/>
        <v>7810.587950000001</v>
      </c>
      <c r="I31" s="478">
        <f t="shared" si="106"/>
        <v>7810.587950000001</v>
      </c>
      <c r="J31" s="478">
        <f t="shared" si="106"/>
        <v>7810.587950000001</v>
      </c>
      <c r="K31" s="478">
        <f t="shared" si="106"/>
        <v>7810.587950000001</v>
      </c>
      <c r="L31" s="478">
        <f t="shared" si="106"/>
        <v>7810.587950000001</v>
      </c>
      <c r="M31" s="478">
        <f t="shared" si="106"/>
        <v>185948.88065000001</v>
      </c>
      <c r="N31" s="478">
        <f t="shared" si="106"/>
        <v>215638.5961</v>
      </c>
      <c r="O31" s="478">
        <f t="shared" si="106"/>
        <v>215638.5961</v>
      </c>
      <c r="P31" s="478">
        <f t="shared" si="106"/>
        <v>33536.855187500005</v>
      </c>
      <c r="Q31" s="478">
        <f t="shared" si="106"/>
        <v>33536.855187500005</v>
      </c>
      <c r="R31" s="478">
        <f t="shared" si="106"/>
        <v>33536.855187500005</v>
      </c>
      <c r="S31" s="478">
        <f t="shared" si="106"/>
        <v>33536.855187500005</v>
      </c>
      <c r="T31" s="478">
        <f t="shared" si="106"/>
        <v>0</v>
      </c>
      <c r="U31" s="478">
        <f t="shared" si="106"/>
        <v>0</v>
      </c>
      <c r="V31" s="478">
        <f t="shared" si="106"/>
        <v>0</v>
      </c>
      <c r="W31" s="478">
        <f t="shared" si="106"/>
        <v>0</v>
      </c>
      <c r="X31" s="478">
        <f t="shared" si="106"/>
        <v>0</v>
      </c>
      <c r="Y31" s="478">
        <f t="shared" si="106"/>
        <v>0</v>
      </c>
      <c r="Z31" s="478">
        <f t="shared" si="106"/>
        <v>0</v>
      </c>
      <c r="AA31" s="478">
        <f t="shared" si="106"/>
        <v>0</v>
      </c>
      <c r="AB31" s="478">
        <f t="shared" si="106"/>
        <v>0</v>
      </c>
      <c r="AC31" s="478">
        <f t="shared" si="106"/>
        <v>0</v>
      </c>
      <c r="AD31" s="478">
        <f t="shared" si="106"/>
        <v>0</v>
      </c>
      <c r="AE31" s="478">
        <f t="shared" si="106"/>
        <v>0</v>
      </c>
      <c r="AF31" s="478">
        <f t="shared" si="106"/>
        <v>0</v>
      </c>
      <c r="AG31" s="478">
        <f t="shared" si="106"/>
        <v>0</v>
      </c>
      <c r="AH31" s="478">
        <f t="shared" si="106"/>
        <v>0</v>
      </c>
      <c r="AI31" s="478">
        <f t="shared" si="106"/>
        <v>0</v>
      </c>
    </row>
    <row r="32" spans="1:35" s="373" customFormat="1" x14ac:dyDescent="0.25">
      <c r="A32" s="172"/>
      <c r="B32" s="350" t="s">
        <v>321</v>
      </c>
      <c r="C32" s="274"/>
      <c r="D32" s="277">
        <f t="shared" si="21"/>
        <v>1348112.2570000007</v>
      </c>
      <c r="E32" s="340"/>
      <c r="F32" s="478">
        <f>F7*0.85%</f>
        <v>29510.349300000005</v>
      </c>
      <c r="G32" s="478">
        <f t="shared" ref="G32:AI32" si="107">G7*0.85%</f>
        <v>29510.349300000005</v>
      </c>
      <c r="H32" s="478">
        <f t="shared" si="107"/>
        <v>29510.349300000005</v>
      </c>
      <c r="I32" s="478">
        <f t="shared" si="107"/>
        <v>29510.349300000005</v>
      </c>
      <c r="J32" s="478">
        <f t="shared" si="107"/>
        <v>29510.349300000005</v>
      </c>
      <c r="K32" s="478">
        <f t="shared" si="107"/>
        <v>29510.349300000005</v>
      </c>
      <c r="L32" s="478">
        <f t="shared" si="107"/>
        <v>29510.349300000005</v>
      </c>
      <c r="M32" s="478">
        <f t="shared" si="107"/>
        <v>111523.32690000001</v>
      </c>
      <c r="N32" s="478">
        <f t="shared" si="107"/>
        <v>125192.15650000001</v>
      </c>
      <c r="O32" s="478">
        <f t="shared" si="107"/>
        <v>125192.15650000001</v>
      </c>
      <c r="P32" s="478">
        <f t="shared" si="107"/>
        <v>190394.33050000001</v>
      </c>
      <c r="Q32" s="478">
        <f t="shared" si="107"/>
        <v>190394.33050000001</v>
      </c>
      <c r="R32" s="478">
        <f t="shared" si="107"/>
        <v>190394.33050000001</v>
      </c>
      <c r="S32" s="478">
        <f t="shared" si="107"/>
        <v>190394.33050000001</v>
      </c>
      <c r="T32" s="478">
        <f t="shared" si="107"/>
        <v>2579.264285714286</v>
      </c>
      <c r="U32" s="478">
        <f t="shared" si="107"/>
        <v>2579.264285714286</v>
      </c>
      <c r="V32" s="478">
        <f t="shared" si="107"/>
        <v>2579.264285714286</v>
      </c>
      <c r="W32" s="478">
        <f t="shared" si="107"/>
        <v>2579.264285714286</v>
      </c>
      <c r="X32" s="478">
        <f t="shared" si="107"/>
        <v>2579.264285714286</v>
      </c>
      <c r="Y32" s="478">
        <f t="shared" si="107"/>
        <v>2579.264285714286</v>
      </c>
      <c r="Z32" s="478">
        <f t="shared" si="107"/>
        <v>2579.264285714286</v>
      </c>
      <c r="AA32" s="478">
        <f t="shared" si="107"/>
        <v>0</v>
      </c>
      <c r="AB32" s="478">
        <f t="shared" si="107"/>
        <v>0</v>
      </c>
      <c r="AC32" s="478">
        <f t="shared" si="107"/>
        <v>0</v>
      </c>
      <c r="AD32" s="478">
        <f t="shared" si="107"/>
        <v>0</v>
      </c>
      <c r="AE32" s="478">
        <f t="shared" si="107"/>
        <v>0</v>
      </c>
      <c r="AF32" s="478">
        <f t="shared" si="107"/>
        <v>0</v>
      </c>
      <c r="AG32" s="478">
        <f t="shared" si="107"/>
        <v>0</v>
      </c>
      <c r="AH32" s="478">
        <f t="shared" si="107"/>
        <v>0</v>
      </c>
      <c r="AI32" s="478">
        <f t="shared" si="107"/>
        <v>0</v>
      </c>
    </row>
    <row r="33" spans="1:35" s="509" customFormat="1" x14ac:dyDescent="0.25">
      <c r="A33" s="172">
        <v>0.75</v>
      </c>
      <c r="B33" s="351" t="s">
        <v>634</v>
      </c>
      <c r="C33" s="274"/>
      <c r="D33" s="277">
        <f>D34+D35</f>
        <v>1900729.2937499995</v>
      </c>
      <c r="E33" s="340"/>
      <c r="F33" s="478">
        <f>F34+F35</f>
        <v>32930.238750000004</v>
      </c>
      <c r="G33" s="478">
        <f t="shared" ref="G33:H33" si="108">G34+G35</f>
        <v>32930.238750000004</v>
      </c>
      <c r="H33" s="478">
        <f t="shared" si="108"/>
        <v>32930.238750000004</v>
      </c>
      <c r="I33" s="478">
        <f>I34+I35</f>
        <v>32930.238750000004</v>
      </c>
      <c r="J33" s="478">
        <f t="shared" ref="J33:AI33" si="109">J34+J35</f>
        <v>32930.238750000004</v>
      </c>
      <c r="K33" s="478">
        <f t="shared" si="109"/>
        <v>32930.238750000004</v>
      </c>
      <c r="L33" s="478">
        <f t="shared" si="109"/>
        <v>32930.238750000004</v>
      </c>
      <c r="M33" s="478">
        <f t="shared" si="109"/>
        <v>262475.47725</v>
      </c>
      <c r="N33" s="478">
        <f t="shared" si="109"/>
        <v>300733.01699999999</v>
      </c>
      <c r="O33" s="478">
        <f t="shared" si="109"/>
        <v>300733.01699999999</v>
      </c>
      <c r="P33" s="478">
        <f t="shared" si="109"/>
        <v>197586.34031249999</v>
      </c>
      <c r="Q33" s="478">
        <f t="shared" si="109"/>
        <v>197586.34031249999</v>
      </c>
      <c r="R33" s="478">
        <f t="shared" si="109"/>
        <v>197586.34031249999</v>
      </c>
      <c r="S33" s="478">
        <f t="shared" si="109"/>
        <v>197586.34031249999</v>
      </c>
      <c r="T33" s="478">
        <f t="shared" si="109"/>
        <v>2275.8214285714284</v>
      </c>
      <c r="U33" s="478">
        <f t="shared" si="109"/>
        <v>2275.8214285714284</v>
      </c>
      <c r="V33" s="478">
        <f t="shared" si="109"/>
        <v>2275.8214285714284</v>
      </c>
      <c r="W33" s="478">
        <f t="shared" si="109"/>
        <v>2275.8214285714284</v>
      </c>
      <c r="X33" s="478">
        <f t="shared" si="109"/>
        <v>2275.8214285714284</v>
      </c>
      <c r="Y33" s="478">
        <f t="shared" si="109"/>
        <v>2275.8214285714284</v>
      </c>
      <c r="Z33" s="478">
        <f t="shared" si="109"/>
        <v>2275.8214285714284</v>
      </c>
      <c r="AA33" s="478">
        <f t="shared" si="109"/>
        <v>0</v>
      </c>
      <c r="AB33" s="478">
        <f t="shared" si="109"/>
        <v>0</v>
      </c>
      <c r="AC33" s="478">
        <f t="shared" si="109"/>
        <v>0</v>
      </c>
      <c r="AD33" s="478">
        <f t="shared" si="109"/>
        <v>0</v>
      </c>
      <c r="AE33" s="478">
        <f t="shared" si="109"/>
        <v>0</v>
      </c>
      <c r="AF33" s="478">
        <f t="shared" si="109"/>
        <v>0</v>
      </c>
      <c r="AG33" s="478">
        <f t="shared" si="109"/>
        <v>0</v>
      </c>
      <c r="AH33" s="478">
        <f t="shared" si="109"/>
        <v>0</v>
      </c>
      <c r="AI33" s="478">
        <f t="shared" si="109"/>
        <v>0</v>
      </c>
    </row>
    <row r="34" spans="1:35" s="509" customFormat="1" x14ac:dyDescent="0.25">
      <c r="A34" s="172"/>
      <c r="B34" s="349" t="s">
        <v>302</v>
      </c>
      <c r="C34" s="274"/>
      <c r="D34" s="277">
        <f>SUM(F34:Z34)</f>
        <v>711218.47874999978</v>
      </c>
      <c r="E34" s="340"/>
      <c r="F34" s="478">
        <f>0.75%*F6</f>
        <v>6891.6952500000007</v>
      </c>
      <c r="G34" s="478">
        <f t="shared" ref="G34:AI34" si="110">0.75%*G6</f>
        <v>6891.6952500000007</v>
      </c>
      <c r="H34" s="478">
        <f t="shared" si="110"/>
        <v>6891.6952500000007</v>
      </c>
      <c r="I34" s="478">
        <f t="shared" si="110"/>
        <v>6891.6952500000007</v>
      </c>
      <c r="J34" s="478">
        <f t="shared" si="110"/>
        <v>6891.6952500000007</v>
      </c>
      <c r="K34" s="478">
        <f t="shared" si="110"/>
        <v>6891.6952500000007</v>
      </c>
      <c r="L34" s="478">
        <f t="shared" si="110"/>
        <v>6891.6952500000007</v>
      </c>
      <c r="M34" s="478">
        <f t="shared" si="110"/>
        <v>164072.54174999997</v>
      </c>
      <c r="N34" s="478">
        <f t="shared" si="110"/>
        <v>190269.34949999998</v>
      </c>
      <c r="O34" s="478">
        <f t="shared" si="110"/>
        <v>190269.34949999998</v>
      </c>
      <c r="P34" s="478">
        <f t="shared" si="110"/>
        <v>29591.342812499999</v>
      </c>
      <c r="Q34" s="478">
        <f t="shared" si="110"/>
        <v>29591.342812499999</v>
      </c>
      <c r="R34" s="478">
        <f t="shared" si="110"/>
        <v>29591.342812499999</v>
      </c>
      <c r="S34" s="478">
        <f t="shared" si="110"/>
        <v>29591.342812499999</v>
      </c>
      <c r="T34" s="478">
        <f t="shared" si="110"/>
        <v>0</v>
      </c>
      <c r="U34" s="478">
        <f t="shared" si="110"/>
        <v>0</v>
      </c>
      <c r="V34" s="478">
        <f t="shared" si="110"/>
        <v>0</v>
      </c>
      <c r="W34" s="478">
        <f t="shared" si="110"/>
        <v>0</v>
      </c>
      <c r="X34" s="478">
        <f t="shared" si="110"/>
        <v>0</v>
      </c>
      <c r="Y34" s="478">
        <f t="shared" si="110"/>
        <v>0</v>
      </c>
      <c r="Z34" s="478">
        <f t="shared" si="110"/>
        <v>0</v>
      </c>
      <c r="AA34" s="478">
        <f t="shared" si="110"/>
        <v>0</v>
      </c>
      <c r="AB34" s="478">
        <f t="shared" si="110"/>
        <v>0</v>
      </c>
      <c r="AC34" s="478">
        <f t="shared" si="110"/>
        <v>0</v>
      </c>
      <c r="AD34" s="478">
        <f t="shared" si="110"/>
        <v>0</v>
      </c>
      <c r="AE34" s="478">
        <f t="shared" si="110"/>
        <v>0</v>
      </c>
      <c r="AF34" s="478">
        <f t="shared" si="110"/>
        <v>0</v>
      </c>
      <c r="AG34" s="478">
        <f t="shared" si="110"/>
        <v>0</v>
      </c>
      <c r="AH34" s="478">
        <f t="shared" si="110"/>
        <v>0</v>
      </c>
      <c r="AI34" s="478">
        <f t="shared" si="110"/>
        <v>0</v>
      </c>
    </row>
    <row r="35" spans="1:35" s="509" customFormat="1" x14ac:dyDescent="0.25">
      <c r="A35" s="172"/>
      <c r="B35" s="350" t="s">
        <v>321</v>
      </c>
      <c r="C35" s="274"/>
      <c r="D35" s="277">
        <f>SUM(F35:Z35)</f>
        <v>1189510.8149999997</v>
      </c>
      <c r="E35" s="340"/>
      <c r="F35" s="478">
        <f>0.75%*F7</f>
        <v>26038.5435</v>
      </c>
      <c r="G35" s="478">
        <f t="shared" ref="G35:AI35" si="111">0.75%*G7</f>
        <v>26038.5435</v>
      </c>
      <c r="H35" s="478">
        <f t="shared" si="111"/>
        <v>26038.5435</v>
      </c>
      <c r="I35" s="478">
        <f t="shared" si="111"/>
        <v>26038.5435</v>
      </c>
      <c r="J35" s="478">
        <f t="shared" si="111"/>
        <v>26038.5435</v>
      </c>
      <c r="K35" s="478">
        <f t="shared" si="111"/>
        <v>26038.5435</v>
      </c>
      <c r="L35" s="478">
        <f t="shared" si="111"/>
        <v>26038.5435</v>
      </c>
      <c r="M35" s="478">
        <f t="shared" si="111"/>
        <v>98402.935499999992</v>
      </c>
      <c r="N35" s="478">
        <f t="shared" si="111"/>
        <v>110463.6675</v>
      </c>
      <c r="O35" s="478">
        <f t="shared" si="111"/>
        <v>110463.6675</v>
      </c>
      <c r="P35" s="478">
        <f t="shared" si="111"/>
        <v>167994.9975</v>
      </c>
      <c r="Q35" s="478">
        <f t="shared" si="111"/>
        <v>167994.9975</v>
      </c>
      <c r="R35" s="478">
        <f t="shared" si="111"/>
        <v>167994.9975</v>
      </c>
      <c r="S35" s="478">
        <f t="shared" si="111"/>
        <v>167994.9975</v>
      </c>
      <c r="T35" s="478">
        <f t="shared" si="111"/>
        <v>2275.8214285714284</v>
      </c>
      <c r="U35" s="478">
        <f t="shared" si="111"/>
        <v>2275.8214285714284</v>
      </c>
      <c r="V35" s="478">
        <f t="shared" si="111"/>
        <v>2275.8214285714284</v>
      </c>
      <c r="W35" s="478">
        <f t="shared" si="111"/>
        <v>2275.8214285714284</v>
      </c>
      <c r="X35" s="478">
        <f t="shared" si="111"/>
        <v>2275.8214285714284</v>
      </c>
      <c r="Y35" s="478">
        <f t="shared" si="111"/>
        <v>2275.8214285714284</v>
      </c>
      <c r="Z35" s="478">
        <f t="shared" si="111"/>
        <v>2275.8214285714284</v>
      </c>
      <c r="AA35" s="478">
        <f t="shared" si="111"/>
        <v>0</v>
      </c>
      <c r="AB35" s="478">
        <f t="shared" si="111"/>
        <v>0</v>
      </c>
      <c r="AC35" s="478">
        <f t="shared" si="111"/>
        <v>0</v>
      </c>
      <c r="AD35" s="478">
        <f t="shared" si="111"/>
        <v>0</v>
      </c>
      <c r="AE35" s="478">
        <f t="shared" si="111"/>
        <v>0</v>
      </c>
      <c r="AF35" s="478">
        <f t="shared" si="111"/>
        <v>0</v>
      </c>
      <c r="AG35" s="478">
        <f t="shared" si="111"/>
        <v>0</v>
      </c>
      <c r="AH35" s="478">
        <f t="shared" si="111"/>
        <v>0</v>
      </c>
      <c r="AI35" s="478">
        <f t="shared" si="111"/>
        <v>0</v>
      </c>
    </row>
    <row r="36" spans="1:35" s="94" customFormat="1" x14ac:dyDescent="0.25">
      <c r="A36" s="172"/>
      <c r="B36" s="279" t="s">
        <v>354</v>
      </c>
      <c r="C36" s="274"/>
      <c r="D36" s="275">
        <f>SUM(E36:AG36)</f>
        <v>309185298.44999987</v>
      </c>
      <c r="E36" s="272"/>
      <c r="F36" s="280">
        <f>SUM(F37:F38)</f>
        <v>5356652.1700000009</v>
      </c>
      <c r="G36" s="280">
        <f t="shared" ref="G36:AG36" si="112">SUM(G37:G38)</f>
        <v>5356652.1700000009</v>
      </c>
      <c r="H36" s="280">
        <f t="shared" si="112"/>
        <v>5356652.1700000009</v>
      </c>
      <c r="I36" s="280">
        <f t="shared" si="112"/>
        <v>5356652.1700000009</v>
      </c>
      <c r="J36" s="280">
        <f t="shared" si="112"/>
        <v>5356652.1700000009</v>
      </c>
      <c r="K36" s="280">
        <f t="shared" si="112"/>
        <v>5356652.1700000009</v>
      </c>
      <c r="L36" s="465">
        <f t="shared" si="112"/>
        <v>5356652.1700000009</v>
      </c>
      <c r="M36" s="280">
        <f t="shared" si="112"/>
        <v>42696010.965999998</v>
      </c>
      <c r="N36" s="280">
        <f t="shared" si="112"/>
        <v>48919237.431999996</v>
      </c>
      <c r="O36" s="280">
        <f>SUM(O37:O38)</f>
        <v>48919237.431999996</v>
      </c>
      <c r="P36" s="470">
        <f t="shared" si="112"/>
        <v>32140711.357499994</v>
      </c>
      <c r="Q36" s="280">
        <f t="shared" si="112"/>
        <v>32140711.357499994</v>
      </c>
      <c r="R36" s="280">
        <f t="shared" si="112"/>
        <v>32140711.357499994</v>
      </c>
      <c r="S36" s="280">
        <f t="shared" si="112"/>
        <v>32140711.357499994</v>
      </c>
      <c r="T36" s="280">
        <f t="shared" si="112"/>
        <v>370200.2857142858</v>
      </c>
      <c r="U36" s="280">
        <f t="shared" si="112"/>
        <v>370200.2857142858</v>
      </c>
      <c r="V36" s="280">
        <f t="shared" si="112"/>
        <v>370200.2857142858</v>
      </c>
      <c r="W36" s="280">
        <f t="shared" si="112"/>
        <v>370200.2857142858</v>
      </c>
      <c r="X36" s="280">
        <f t="shared" si="112"/>
        <v>370200.2857142858</v>
      </c>
      <c r="Y36" s="280">
        <f t="shared" si="112"/>
        <v>370200.2857142858</v>
      </c>
      <c r="Z36" s="280">
        <f t="shared" si="112"/>
        <v>370200.2857142858</v>
      </c>
      <c r="AA36" s="280">
        <f t="shared" si="112"/>
        <v>0</v>
      </c>
      <c r="AB36" s="280">
        <f t="shared" si="112"/>
        <v>0</v>
      </c>
      <c r="AC36" s="280">
        <f t="shared" si="112"/>
        <v>0</v>
      </c>
      <c r="AD36" s="280">
        <f t="shared" si="112"/>
        <v>0</v>
      </c>
      <c r="AE36" s="280">
        <f t="shared" si="112"/>
        <v>0</v>
      </c>
      <c r="AF36" s="280">
        <f t="shared" si="112"/>
        <v>0</v>
      </c>
      <c r="AG36" s="280">
        <f t="shared" si="112"/>
        <v>0</v>
      </c>
      <c r="AH36" s="280">
        <f t="shared" ref="AH36:AI36" si="113">SUM(AH37:AH38)</f>
        <v>0</v>
      </c>
      <c r="AI36" s="280">
        <f t="shared" si="113"/>
        <v>0</v>
      </c>
    </row>
    <row r="37" spans="1:35" s="94" customFormat="1" x14ac:dyDescent="0.25">
      <c r="A37" s="172"/>
      <c r="B37" s="273" t="s">
        <v>302</v>
      </c>
      <c r="C37" s="274"/>
      <c r="D37" s="275">
        <f t="shared" si="21"/>
        <v>115691539.20999998</v>
      </c>
      <c r="E37" s="272"/>
      <c r="F37" s="276">
        <f>F6+F13+F16+F19+F25+F28+F31+F22+F34+F10</f>
        <v>1121049.0940000003</v>
      </c>
      <c r="G37" s="276">
        <f t="shared" ref="G37:AI37" si="114">G6+G13+G16+G19+G25+G28+G31+G22+G34+G10</f>
        <v>1121049.0940000003</v>
      </c>
      <c r="H37" s="276">
        <f t="shared" si="114"/>
        <v>1121049.0940000003</v>
      </c>
      <c r="I37" s="276">
        <f t="shared" si="114"/>
        <v>1121049.0940000003</v>
      </c>
      <c r="J37" s="276">
        <f t="shared" si="114"/>
        <v>1121049.0940000003</v>
      </c>
      <c r="K37" s="276">
        <f t="shared" si="114"/>
        <v>1121049.0940000003</v>
      </c>
      <c r="L37" s="276">
        <f t="shared" si="114"/>
        <v>1121049.0940000003</v>
      </c>
      <c r="M37" s="276">
        <f t="shared" si="114"/>
        <v>26689133.457999993</v>
      </c>
      <c r="N37" s="276">
        <f t="shared" si="114"/>
        <v>30950480.851999994</v>
      </c>
      <c r="O37" s="276">
        <f t="shared" si="114"/>
        <v>30950480.851999994</v>
      </c>
      <c r="P37" s="276">
        <f t="shared" si="114"/>
        <v>4813525.0975000001</v>
      </c>
      <c r="Q37" s="276">
        <f t="shared" si="114"/>
        <v>4813525.0975000001</v>
      </c>
      <c r="R37" s="276">
        <f t="shared" si="114"/>
        <v>4813525.0975000001</v>
      </c>
      <c r="S37" s="276">
        <f t="shared" si="114"/>
        <v>4813525.0975000001</v>
      </c>
      <c r="T37" s="276">
        <f t="shared" si="114"/>
        <v>0</v>
      </c>
      <c r="U37" s="276">
        <f t="shared" si="114"/>
        <v>0</v>
      </c>
      <c r="V37" s="276">
        <f t="shared" si="114"/>
        <v>0</v>
      </c>
      <c r="W37" s="276">
        <f t="shared" si="114"/>
        <v>0</v>
      </c>
      <c r="X37" s="276">
        <f t="shared" si="114"/>
        <v>0</v>
      </c>
      <c r="Y37" s="276">
        <f t="shared" si="114"/>
        <v>0</v>
      </c>
      <c r="Z37" s="276">
        <f t="shared" si="114"/>
        <v>0</v>
      </c>
      <c r="AA37" s="276">
        <f t="shared" si="114"/>
        <v>0</v>
      </c>
      <c r="AB37" s="276">
        <f t="shared" si="114"/>
        <v>0</v>
      </c>
      <c r="AC37" s="276">
        <f t="shared" si="114"/>
        <v>0</v>
      </c>
      <c r="AD37" s="276">
        <f t="shared" si="114"/>
        <v>0</v>
      </c>
      <c r="AE37" s="276">
        <f t="shared" si="114"/>
        <v>0</v>
      </c>
      <c r="AF37" s="276">
        <f t="shared" si="114"/>
        <v>0</v>
      </c>
      <c r="AG37" s="276">
        <f t="shared" si="114"/>
        <v>0</v>
      </c>
      <c r="AH37" s="276">
        <f t="shared" si="114"/>
        <v>0</v>
      </c>
      <c r="AI37" s="276">
        <f t="shared" si="114"/>
        <v>0</v>
      </c>
    </row>
    <row r="38" spans="1:35" s="94" customFormat="1" x14ac:dyDescent="0.25">
      <c r="A38" s="172"/>
      <c r="B38" s="273" t="s">
        <v>321</v>
      </c>
      <c r="C38" s="274"/>
      <c r="D38" s="275">
        <f t="shared" si="21"/>
        <v>193493759.24000007</v>
      </c>
      <c r="E38" s="272"/>
      <c r="F38" s="276">
        <f>F7+F14+F17+F20+F26+F29+F32+F23+F35+F11</f>
        <v>4235603.0760000004</v>
      </c>
      <c r="G38" s="276">
        <f t="shared" ref="G38:AI38" si="115">G7+G14+G17+G20+G26+G29+G32+G23+G35+G11</f>
        <v>4235603.0760000004</v>
      </c>
      <c r="H38" s="276">
        <f t="shared" si="115"/>
        <v>4235603.0760000004</v>
      </c>
      <c r="I38" s="276">
        <f t="shared" si="115"/>
        <v>4235603.0760000004</v>
      </c>
      <c r="J38" s="276">
        <f t="shared" si="115"/>
        <v>4235603.0760000004</v>
      </c>
      <c r="K38" s="276">
        <f t="shared" si="115"/>
        <v>4235603.0760000004</v>
      </c>
      <c r="L38" s="276">
        <f t="shared" si="115"/>
        <v>4235603.0760000004</v>
      </c>
      <c r="M38" s="276">
        <f t="shared" si="115"/>
        <v>16006877.508000003</v>
      </c>
      <c r="N38" s="276">
        <f t="shared" si="115"/>
        <v>17968756.580000002</v>
      </c>
      <c r="O38" s="276">
        <f t="shared" si="115"/>
        <v>17968756.580000002</v>
      </c>
      <c r="P38" s="276">
        <f t="shared" si="115"/>
        <v>27327186.259999994</v>
      </c>
      <c r="Q38" s="276">
        <f t="shared" si="115"/>
        <v>27327186.259999994</v>
      </c>
      <c r="R38" s="276">
        <f t="shared" si="115"/>
        <v>27327186.259999994</v>
      </c>
      <c r="S38" s="276">
        <f t="shared" si="115"/>
        <v>27327186.259999994</v>
      </c>
      <c r="T38" s="276">
        <f t="shared" si="115"/>
        <v>370200.2857142858</v>
      </c>
      <c r="U38" s="276">
        <f t="shared" si="115"/>
        <v>370200.2857142858</v>
      </c>
      <c r="V38" s="276">
        <f t="shared" si="115"/>
        <v>370200.2857142858</v>
      </c>
      <c r="W38" s="276">
        <f t="shared" si="115"/>
        <v>370200.2857142858</v>
      </c>
      <c r="X38" s="276">
        <f t="shared" si="115"/>
        <v>370200.2857142858</v>
      </c>
      <c r="Y38" s="276">
        <f t="shared" si="115"/>
        <v>370200.2857142858</v>
      </c>
      <c r="Z38" s="276">
        <f t="shared" si="115"/>
        <v>370200.2857142858</v>
      </c>
      <c r="AA38" s="276">
        <f t="shared" si="115"/>
        <v>0</v>
      </c>
      <c r="AB38" s="276">
        <f t="shared" si="115"/>
        <v>0</v>
      </c>
      <c r="AC38" s="276">
        <f t="shared" si="115"/>
        <v>0</v>
      </c>
      <c r="AD38" s="276">
        <f t="shared" si="115"/>
        <v>0</v>
      </c>
      <c r="AE38" s="276">
        <f t="shared" si="115"/>
        <v>0</v>
      </c>
      <c r="AF38" s="276">
        <f t="shared" si="115"/>
        <v>0</v>
      </c>
      <c r="AG38" s="276">
        <f t="shared" si="115"/>
        <v>0</v>
      </c>
      <c r="AH38" s="276">
        <f t="shared" si="115"/>
        <v>0</v>
      </c>
      <c r="AI38" s="276">
        <f t="shared" si="115"/>
        <v>0</v>
      </c>
    </row>
    <row r="39" spans="1:35" s="94" customFormat="1" x14ac:dyDescent="0.25">
      <c r="A39" s="172"/>
      <c r="B39" s="514"/>
      <c r="C39" s="274"/>
      <c r="D39" s="281"/>
      <c r="E39" s="272"/>
      <c r="F39" s="282"/>
      <c r="G39" s="282"/>
      <c r="H39" s="282"/>
      <c r="I39" s="282"/>
      <c r="J39" s="282"/>
      <c r="K39" s="282"/>
      <c r="L39" s="282"/>
      <c r="M39" s="471"/>
      <c r="N39" s="471"/>
      <c r="O39" s="471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72"/>
      <c r="AI39" s="272"/>
    </row>
    <row r="40" spans="1:35" s="94" customFormat="1" x14ac:dyDescent="0.25">
      <c r="A40" s="172"/>
      <c r="B40" s="697" t="s">
        <v>531</v>
      </c>
      <c r="C40" s="698" t="s">
        <v>272</v>
      </c>
      <c r="D40" s="698" t="s">
        <v>303</v>
      </c>
      <c r="E40" s="695">
        <v>2013</v>
      </c>
      <c r="F40" s="695">
        <f>E40+1</f>
        <v>2014</v>
      </c>
      <c r="G40" s="695">
        <f t="shared" ref="G40" si="116">F40+1</f>
        <v>2015</v>
      </c>
      <c r="H40" s="695">
        <f t="shared" ref="H40" si="117">G40+1</f>
        <v>2016</v>
      </c>
      <c r="I40" s="695">
        <f t="shared" ref="I40" si="118">H40+1</f>
        <v>2017</v>
      </c>
      <c r="J40" s="695">
        <f t="shared" ref="J40" si="119">I40+1</f>
        <v>2018</v>
      </c>
      <c r="K40" s="695">
        <f t="shared" ref="K40" si="120">J40+1</f>
        <v>2019</v>
      </c>
      <c r="L40" s="695">
        <f t="shared" ref="L40" si="121">K40+1</f>
        <v>2020</v>
      </c>
      <c r="M40" s="695">
        <f t="shared" ref="M40" si="122">L40+1</f>
        <v>2021</v>
      </c>
      <c r="N40" s="695">
        <f t="shared" ref="N40" si="123">M40+1</f>
        <v>2022</v>
      </c>
      <c r="O40" s="695">
        <f t="shared" ref="O40" si="124">N40+1</f>
        <v>2023</v>
      </c>
      <c r="P40" s="695">
        <f t="shared" ref="P40" si="125">O40+1</f>
        <v>2024</v>
      </c>
      <c r="Q40" s="695">
        <f t="shared" ref="Q40" si="126">P40+1</f>
        <v>2025</v>
      </c>
      <c r="R40" s="695">
        <f t="shared" ref="R40" si="127">Q40+1</f>
        <v>2026</v>
      </c>
      <c r="S40" s="695">
        <f t="shared" ref="S40" si="128">R40+1</f>
        <v>2027</v>
      </c>
      <c r="T40" s="695">
        <f t="shared" ref="T40" si="129">S40+1</f>
        <v>2028</v>
      </c>
      <c r="U40" s="695">
        <f t="shared" ref="U40" si="130">T40+1</f>
        <v>2029</v>
      </c>
      <c r="V40" s="695">
        <f t="shared" ref="V40" si="131">U40+1</f>
        <v>2030</v>
      </c>
      <c r="W40" s="696">
        <f t="shared" ref="W40" si="132">V40+1</f>
        <v>2031</v>
      </c>
      <c r="X40" s="696">
        <f t="shared" ref="X40" si="133">W40+1</f>
        <v>2032</v>
      </c>
      <c r="Y40" s="696">
        <f t="shared" ref="Y40" si="134">X40+1</f>
        <v>2033</v>
      </c>
      <c r="Z40" s="696">
        <f t="shared" ref="Z40" si="135">Y40+1</f>
        <v>2034</v>
      </c>
      <c r="AA40" s="696">
        <f t="shared" ref="AA40" si="136">Z40+1</f>
        <v>2035</v>
      </c>
      <c r="AB40" s="696">
        <f t="shared" ref="AB40" si="137">AA40+1</f>
        <v>2036</v>
      </c>
      <c r="AC40" s="696">
        <f t="shared" ref="AC40" si="138">AB40+1</f>
        <v>2037</v>
      </c>
      <c r="AD40" s="696">
        <f t="shared" ref="AD40" si="139">AC40+1</f>
        <v>2038</v>
      </c>
      <c r="AE40" s="696">
        <f t="shared" ref="AE40" si="140">AD40+1</f>
        <v>2039</v>
      </c>
      <c r="AF40" s="696">
        <f t="shared" ref="AF40" si="141">AE40+1</f>
        <v>2040</v>
      </c>
      <c r="AG40" s="696">
        <f t="shared" ref="AG40" si="142">AF40+1</f>
        <v>2041</v>
      </c>
      <c r="AH40" s="696">
        <v>2042</v>
      </c>
      <c r="AI40" s="696">
        <v>2043</v>
      </c>
    </row>
    <row r="41" spans="1:35" x14ac:dyDescent="0.25">
      <c r="B41" s="697"/>
      <c r="C41" s="698"/>
      <c r="D41" s="698"/>
      <c r="E41" s="695"/>
      <c r="F41" s="695"/>
      <c r="G41" s="695"/>
      <c r="H41" s="695"/>
      <c r="I41" s="695"/>
      <c r="J41" s="695"/>
      <c r="K41" s="695"/>
      <c r="L41" s="695"/>
      <c r="M41" s="695"/>
      <c r="N41" s="695"/>
      <c r="O41" s="695"/>
      <c r="P41" s="695"/>
      <c r="Q41" s="695"/>
      <c r="R41" s="695"/>
      <c r="S41" s="695"/>
      <c r="T41" s="695"/>
      <c r="U41" s="695"/>
      <c r="V41" s="695"/>
      <c r="W41" s="696"/>
      <c r="X41" s="696"/>
      <c r="Y41" s="696"/>
      <c r="Z41" s="696"/>
      <c r="AA41" s="696"/>
      <c r="AB41" s="696"/>
      <c r="AC41" s="696"/>
      <c r="AD41" s="696"/>
      <c r="AE41" s="696"/>
      <c r="AF41" s="696"/>
      <c r="AG41" s="696"/>
      <c r="AH41" s="696"/>
      <c r="AI41" s="696"/>
    </row>
    <row r="42" spans="1:35" ht="15" customHeight="1" x14ac:dyDescent="0.25">
      <c r="B42" s="291" t="s">
        <v>340</v>
      </c>
      <c r="C42" s="292" t="s">
        <v>316</v>
      </c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5" x14ac:dyDescent="0.25">
      <c r="B43" s="293" t="s">
        <v>302</v>
      </c>
      <c r="C43" s="293"/>
      <c r="D43" s="294">
        <f>SUM(E43:AI43)</f>
        <v>4741456.5250000013</v>
      </c>
      <c r="E43" s="293"/>
      <c r="F43" s="293"/>
      <c r="G43" s="293"/>
      <c r="H43" s="293"/>
      <c r="I43" s="293"/>
      <c r="J43" s="293"/>
      <c r="K43" s="293"/>
      <c r="L43" s="293"/>
      <c r="M43" s="295">
        <f>F6*5%</f>
        <v>45944.635000000009</v>
      </c>
      <c r="N43" s="295">
        <f t="shared" ref="N43:AC43" si="143">G6*5%</f>
        <v>45944.635000000009</v>
      </c>
      <c r="O43" s="295">
        <f t="shared" si="143"/>
        <v>45944.635000000009</v>
      </c>
      <c r="P43" s="295">
        <f t="shared" si="143"/>
        <v>45944.635000000009</v>
      </c>
      <c r="Q43" s="295">
        <f t="shared" si="143"/>
        <v>45944.635000000009</v>
      </c>
      <c r="R43" s="295">
        <f t="shared" si="143"/>
        <v>45944.635000000009</v>
      </c>
      <c r="S43" s="295">
        <f t="shared" si="143"/>
        <v>45944.635000000009</v>
      </c>
      <c r="T43" s="295">
        <f t="shared" si="143"/>
        <v>1093816.9450000001</v>
      </c>
      <c r="U43" s="295">
        <f>N6*5%</f>
        <v>1268462.33</v>
      </c>
      <c r="V43" s="295">
        <f t="shared" si="143"/>
        <v>1268462.33</v>
      </c>
      <c r="W43" s="295">
        <f t="shared" si="143"/>
        <v>197275.61875000002</v>
      </c>
      <c r="X43" s="295">
        <f t="shared" si="143"/>
        <v>197275.61875000002</v>
      </c>
      <c r="Y43" s="295">
        <f t="shared" si="143"/>
        <v>197275.61875000002</v>
      </c>
      <c r="Z43" s="295">
        <f t="shared" si="143"/>
        <v>197275.61875000002</v>
      </c>
      <c r="AA43" s="295">
        <f t="shared" si="143"/>
        <v>0</v>
      </c>
      <c r="AB43" s="295">
        <f t="shared" si="143"/>
        <v>0</v>
      </c>
      <c r="AC43" s="295">
        <f t="shared" si="143"/>
        <v>0</v>
      </c>
      <c r="AD43" s="295">
        <f>AC43</f>
        <v>0</v>
      </c>
      <c r="AE43" s="295">
        <f t="shared" ref="AE43:AF43" si="144">AD43</f>
        <v>0</v>
      </c>
      <c r="AF43" s="295">
        <f t="shared" si="144"/>
        <v>0</v>
      </c>
      <c r="AG43" s="295">
        <f>AF43</f>
        <v>0</v>
      </c>
      <c r="AH43" s="295">
        <f t="shared" ref="AH43:AI44" si="145">AG43</f>
        <v>0</v>
      </c>
      <c r="AI43" s="295">
        <f t="shared" si="145"/>
        <v>0</v>
      </c>
    </row>
    <row r="44" spans="1:35" x14ac:dyDescent="0.25">
      <c r="B44" s="296" t="s">
        <v>321</v>
      </c>
      <c r="C44" s="293"/>
      <c r="D44" s="294">
        <f t="shared" ref="D44:D45" si="146">SUM(E44:AI44)</f>
        <v>7960416.385714286</v>
      </c>
      <c r="E44" s="293"/>
      <c r="F44" s="293"/>
      <c r="G44" s="293"/>
      <c r="H44" s="293"/>
      <c r="I44" s="293"/>
      <c r="J44" s="293"/>
      <c r="K44" s="293"/>
      <c r="L44" s="293"/>
      <c r="M44" s="295">
        <f>F7*5%</f>
        <v>173590.29000000004</v>
      </c>
      <c r="N44" s="295">
        <f t="shared" ref="N44:AC44" si="147">G7*5%</f>
        <v>173590.29000000004</v>
      </c>
      <c r="O44" s="295">
        <f t="shared" si="147"/>
        <v>173590.29000000004</v>
      </c>
      <c r="P44" s="295">
        <f t="shared" si="147"/>
        <v>173590.29000000004</v>
      </c>
      <c r="Q44" s="295">
        <f t="shared" si="147"/>
        <v>173590.29000000004</v>
      </c>
      <c r="R44" s="295">
        <f t="shared" si="147"/>
        <v>173590.29000000004</v>
      </c>
      <c r="S44" s="295">
        <f t="shared" si="147"/>
        <v>173590.29000000004</v>
      </c>
      <c r="T44" s="295">
        <f t="shared" si="147"/>
        <v>656019.57000000007</v>
      </c>
      <c r="U44" s="295">
        <f t="shared" si="147"/>
        <v>736424.45000000007</v>
      </c>
      <c r="V44" s="295">
        <f t="shared" si="147"/>
        <v>736424.45000000007</v>
      </c>
      <c r="W44" s="295">
        <f t="shared" si="147"/>
        <v>1119966.6500000001</v>
      </c>
      <c r="X44" s="295">
        <f t="shared" si="147"/>
        <v>1119966.6500000001</v>
      </c>
      <c r="Y44" s="295">
        <f t="shared" si="147"/>
        <v>1119966.6500000001</v>
      </c>
      <c r="Z44" s="295">
        <f t="shared" si="147"/>
        <v>1119966.6500000001</v>
      </c>
      <c r="AA44" s="295">
        <f t="shared" si="147"/>
        <v>15172.142857142859</v>
      </c>
      <c r="AB44" s="295">
        <f t="shared" si="147"/>
        <v>15172.142857142859</v>
      </c>
      <c r="AC44" s="295">
        <f t="shared" si="147"/>
        <v>15172.142857142859</v>
      </c>
      <c r="AD44" s="295">
        <f>AC44</f>
        <v>15172.142857142859</v>
      </c>
      <c r="AE44" s="295">
        <f t="shared" ref="AE44:AG44" si="148">AD44</f>
        <v>15172.142857142859</v>
      </c>
      <c r="AF44" s="295">
        <f t="shared" si="148"/>
        <v>15172.142857142859</v>
      </c>
      <c r="AG44" s="295">
        <f t="shared" si="148"/>
        <v>15172.142857142859</v>
      </c>
      <c r="AH44" s="295">
        <f t="shared" si="145"/>
        <v>15172.142857142859</v>
      </c>
      <c r="AI44" s="295">
        <f t="shared" si="145"/>
        <v>15172.142857142859</v>
      </c>
    </row>
    <row r="45" spans="1:35" x14ac:dyDescent="0.25">
      <c r="B45" s="296" t="s">
        <v>339</v>
      </c>
      <c r="C45" s="293"/>
      <c r="D45" s="294">
        <f t="shared" si="146"/>
        <v>12701872.910714297</v>
      </c>
      <c r="E45" s="293"/>
      <c r="F45" s="293"/>
      <c r="G45" s="293"/>
      <c r="H45" s="293"/>
      <c r="I45" s="293"/>
      <c r="J45" s="293"/>
      <c r="K45" s="293"/>
      <c r="L45" s="293"/>
      <c r="M45" s="297">
        <f>SUM(M43:M44)</f>
        <v>219534.92500000005</v>
      </c>
      <c r="N45" s="297">
        <f t="shared" ref="N45:AD45" si="149">SUM(N43:N44)</f>
        <v>219534.92500000005</v>
      </c>
      <c r="O45" s="297">
        <f t="shared" si="149"/>
        <v>219534.92500000005</v>
      </c>
      <c r="P45" s="297">
        <f t="shared" si="149"/>
        <v>219534.92500000005</v>
      </c>
      <c r="Q45" s="297">
        <f t="shared" si="149"/>
        <v>219534.92500000005</v>
      </c>
      <c r="R45" s="297">
        <f t="shared" si="149"/>
        <v>219534.92500000005</v>
      </c>
      <c r="S45" s="297">
        <f t="shared" si="149"/>
        <v>219534.92500000005</v>
      </c>
      <c r="T45" s="297">
        <f t="shared" si="149"/>
        <v>1749836.5150000001</v>
      </c>
      <c r="U45" s="297">
        <f t="shared" si="149"/>
        <v>2004886.7800000003</v>
      </c>
      <c r="V45" s="297">
        <f t="shared" si="149"/>
        <v>2004886.7800000003</v>
      </c>
      <c r="W45" s="297">
        <f t="shared" si="149"/>
        <v>1317242.2687500003</v>
      </c>
      <c r="X45" s="297">
        <f t="shared" si="149"/>
        <v>1317242.2687500003</v>
      </c>
      <c r="Y45" s="297">
        <f t="shared" si="149"/>
        <v>1317242.2687500003</v>
      </c>
      <c r="Z45" s="297">
        <f t="shared" si="149"/>
        <v>1317242.2687500003</v>
      </c>
      <c r="AA45" s="297">
        <f t="shared" si="149"/>
        <v>15172.142857142859</v>
      </c>
      <c r="AB45" s="297">
        <f t="shared" si="149"/>
        <v>15172.142857142859</v>
      </c>
      <c r="AC45" s="297">
        <f t="shared" si="149"/>
        <v>15172.142857142859</v>
      </c>
      <c r="AD45" s="297">
        <f t="shared" si="149"/>
        <v>15172.142857142859</v>
      </c>
      <c r="AE45" s="297">
        <f t="shared" ref="AE45" si="150">SUM(AE43:AE44)</f>
        <v>15172.142857142859</v>
      </c>
      <c r="AF45" s="297">
        <f t="shared" ref="AF45" si="151">SUM(AF43:AF44)</f>
        <v>15172.142857142859</v>
      </c>
      <c r="AG45" s="297">
        <f t="shared" ref="AG45:AI45" si="152">SUM(AG43:AG44)</f>
        <v>15172.142857142859</v>
      </c>
      <c r="AH45" s="297">
        <f t="shared" si="152"/>
        <v>15172.142857142859</v>
      </c>
      <c r="AI45" s="297">
        <f t="shared" si="152"/>
        <v>15172.142857142859</v>
      </c>
    </row>
    <row r="47" spans="1:35" x14ac:dyDescent="0.25">
      <c r="C47" s="509"/>
      <c r="D47" s="650">
        <f>D36-D30</f>
        <v>307031138.58374989</v>
      </c>
      <c r="E47" s="461"/>
      <c r="F47" s="461"/>
      <c r="G47" s="101"/>
    </row>
    <row r="48" spans="1:35" x14ac:dyDescent="0.25">
      <c r="C48" s="566"/>
      <c r="D48" s="565"/>
      <c r="E48" s="461"/>
      <c r="F48" s="184"/>
    </row>
    <row r="49" spans="2:38" ht="15.75" thickBot="1" x14ac:dyDescent="0.3">
      <c r="G49" s="101"/>
    </row>
    <row r="50" spans="2:38" ht="31.5" x14ac:dyDescent="0.25">
      <c r="B50" s="493" t="s">
        <v>614</v>
      </c>
      <c r="C50" s="336" t="s">
        <v>302</v>
      </c>
      <c r="D50" s="337" t="s">
        <v>19</v>
      </c>
      <c r="E50" s="338" t="s">
        <v>303</v>
      </c>
    </row>
    <row r="51" spans="2:38" x14ac:dyDescent="0.25">
      <c r="B51" s="71" t="s">
        <v>627</v>
      </c>
      <c r="C51" s="477">
        <f>'[16]7.3.1'!$D$153</f>
        <v>9188927</v>
      </c>
      <c r="D51" s="477">
        <f>'[16]7.3.1'!$D$154</f>
        <v>34718058</v>
      </c>
      <c r="E51" s="339">
        <f>C51+D51</f>
        <v>43906985</v>
      </c>
      <c r="G51" s="101"/>
      <c r="H51" s="101"/>
      <c r="I51" s="101"/>
      <c r="K51" s="333"/>
    </row>
    <row r="52" spans="2:38" x14ac:dyDescent="0.25">
      <c r="B52" s="32" t="s">
        <v>628</v>
      </c>
      <c r="C52" s="477">
        <f>'[16]7.3.1'!$E$153</f>
        <v>69858154</v>
      </c>
      <c r="D52" s="477">
        <f>'[16]7.3.1'!$E$154</f>
        <v>32161952</v>
      </c>
      <c r="E52" s="339">
        <f>C52+D52</f>
        <v>102020106</v>
      </c>
      <c r="G52" s="662"/>
      <c r="K52" s="333"/>
    </row>
    <row r="53" spans="2:38" x14ac:dyDescent="0.25">
      <c r="B53" s="32" t="s">
        <v>629</v>
      </c>
      <c r="C53" s="477">
        <f>'[16]7.3.1'!$F$153</f>
        <v>15782049.5</v>
      </c>
      <c r="D53" s="477">
        <f>'[16]7.3.1'!$F$154</f>
        <v>89597332</v>
      </c>
      <c r="E53" s="339">
        <f t="shared" ref="E53:E54" si="153">C53+D53</f>
        <v>105379381.5</v>
      </c>
      <c r="G53" s="210"/>
      <c r="H53" s="210"/>
      <c r="J53" s="175"/>
      <c r="K53" s="333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</row>
    <row r="54" spans="2:38" x14ac:dyDescent="0.25">
      <c r="B54" s="32" t="s">
        <v>529</v>
      </c>
      <c r="C54" s="69">
        <f>'[17]7.3.1'!$G$153</f>
        <v>0</v>
      </c>
      <c r="D54" s="69">
        <f>'[16]7.3.1'!$G$154</f>
        <v>2124100</v>
      </c>
      <c r="E54" s="339">
        <f t="shared" si="153"/>
        <v>2124100</v>
      </c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</row>
    <row r="55" spans="2:38" ht="15.75" thickBot="1" x14ac:dyDescent="0.3">
      <c r="B55" s="479" t="s">
        <v>303</v>
      </c>
      <c r="C55" s="480">
        <f>SUM(C51:C54)</f>
        <v>94829130.5</v>
      </c>
      <c r="D55" s="480">
        <f>SUM(D51:D54)</f>
        <v>158601442</v>
      </c>
      <c r="E55" s="663">
        <f>SUM(E51:E54)</f>
        <v>253430572.5</v>
      </c>
      <c r="G55" s="184"/>
      <c r="H55" s="343"/>
    </row>
    <row r="56" spans="2:38" ht="15.75" thickBot="1" x14ac:dyDescent="0.3">
      <c r="G56" s="101"/>
    </row>
    <row r="57" spans="2:38" ht="30.75" thickBot="1" x14ac:dyDescent="0.3">
      <c r="B57" s="512" t="s">
        <v>338</v>
      </c>
      <c r="C57" s="226" t="s">
        <v>302</v>
      </c>
      <c r="D57" s="224" t="s">
        <v>19</v>
      </c>
      <c r="E57" s="225" t="s">
        <v>303</v>
      </c>
    </row>
    <row r="58" spans="2:38" x14ac:dyDescent="0.25">
      <c r="B58" s="71" t="s">
        <v>627</v>
      </c>
      <c r="C58" s="568">
        <f>C51/AVERAGE('prognoze cantitati'!H247:Q247)</f>
        <v>81.350257791106728</v>
      </c>
      <c r="D58" s="568">
        <f>D51/AVERAGE('prognoze cantitati'!H248:Q248)</f>
        <v>416.60502944035778</v>
      </c>
      <c r="E58" s="569">
        <f>ROUNDUP((C58+D58),2)</f>
        <v>497.96</v>
      </c>
    </row>
    <row r="59" spans="2:38" x14ac:dyDescent="0.25">
      <c r="B59" s="32" t="s">
        <v>628</v>
      </c>
      <c r="C59" s="570">
        <f>C52/AVERAGE('prognoze cantitati'!O247:Q247)</f>
        <v>529.12777296851948</v>
      </c>
      <c r="D59" s="570">
        <f>D52/AVERAGE('prognoze cantitati'!O248:Q248)</f>
        <v>330.07954039388591</v>
      </c>
      <c r="E59" s="571">
        <f>C59+D59</f>
        <v>859.20731336240533</v>
      </c>
    </row>
    <row r="60" spans="2:38" x14ac:dyDescent="0.25">
      <c r="B60" s="32" t="s">
        <v>629</v>
      </c>
      <c r="C60" s="570">
        <f>C53/AVERAGE('prognoze cantitati'!R247:U247)</f>
        <v>84.400406144973019</v>
      </c>
      <c r="D60" s="570">
        <f>D53/AVERAGE('prognoze cantitati'!R248:U248)</f>
        <v>482.50797175067464</v>
      </c>
      <c r="E60" s="571">
        <f>C60+D60</f>
        <v>566.90837789564762</v>
      </c>
    </row>
    <row r="61" spans="2:38" x14ac:dyDescent="0.25">
      <c r="B61" s="32" t="s">
        <v>529</v>
      </c>
      <c r="C61" s="570">
        <f>C54/AVERAGE('prognoze cantitati'!R248:U248)</f>
        <v>0</v>
      </c>
      <c r="D61" s="570">
        <f>D54/AVERAGE('prognoze cantitati'!V248:AB248)</f>
        <v>11.854720293627166</v>
      </c>
      <c r="E61" s="570">
        <f>C61+D61</f>
        <v>11.854720293627166</v>
      </c>
    </row>
    <row r="62" spans="2:38" ht="15.75" thickBot="1" x14ac:dyDescent="0.3">
      <c r="B62" s="482" t="s">
        <v>303</v>
      </c>
      <c r="C62" s="483">
        <f>SUM(C58:C61)</f>
        <v>694.8784369045992</v>
      </c>
      <c r="D62" s="483">
        <f t="shared" ref="D62:E62" si="154">SUM(D58:D61)</f>
        <v>1241.0472618785454</v>
      </c>
      <c r="E62" s="483">
        <f t="shared" si="154"/>
        <v>1935.9304115516802</v>
      </c>
      <c r="F62" s="41" t="s">
        <v>2</v>
      </c>
      <c r="G62" s="41"/>
    </row>
    <row r="63" spans="2:38" x14ac:dyDescent="0.25">
      <c r="D63" s="476"/>
      <c r="G63" s="41"/>
    </row>
    <row r="64" spans="2:38" x14ac:dyDescent="0.25">
      <c r="C64" s="41" t="s">
        <v>2</v>
      </c>
    </row>
    <row r="65" spans="1:8" x14ac:dyDescent="0.25">
      <c r="B65" s="35" t="s">
        <v>639</v>
      </c>
    </row>
    <row r="66" spans="1:8" ht="31.5" x14ac:dyDescent="0.25">
      <c r="B66" s="546" t="s">
        <v>616</v>
      </c>
      <c r="C66" s="547" t="s">
        <v>302</v>
      </c>
      <c r="D66" s="510" t="s">
        <v>19</v>
      </c>
      <c r="E66" s="510" t="s">
        <v>303</v>
      </c>
    </row>
    <row r="67" spans="1:8" x14ac:dyDescent="0.25">
      <c r="B67" s="31" t="s">
        <v>517</v>
      </c>
      <c r="C67" s="185">
        <f>SUM(F6:O6)</f>
        <v>79047080.999999985</v>
      </c>
      <c r="D67" s="185">
        <f>SUM(F7:O7)</f>
        <v>66880010</v>
      </c>
      <c r="E67" s="185">
        <f>C67+D67</f>
        <v>145927091</v>
      </c>
      <c r="F67" s="174"/>
      <c r="G67" s="101"/>
      <c r="H67" s="183"/>
    </row>
    <row r="68" spans="1:8" s="509" customFormat="1" x14ac:dyDescent="0.25">
      <c r="A68" s="172"/>
      <c r="B68" s="551" t="s">
        <v>635</v>
      </c>
      <c r="C68" s="477">
        <f>SUM(F10:O10)</f>
        <v>790470.81</v>
      </c>
      <c r="D68" s="477">
        <f>SUM(F11:O11)</f>
        <v>668800.10000000009</v>
      </c>
      <c r="E68" s="185">
        <f t="shared" ref="E68:E75" si="155">C68+D68</f>
        <v>1459270.9100000001</v>
      </c>
      <c r="F68" s="174"/>
      <c r="G68" s="101"/>
      <c r="H68" s="183"/>
    </row>
    <row r="69" spans="1:8" x14ac:dyDescent="0.25">
      <c r="B69" s="548" t="s">
        <v>350</v>
      </c>
      <c r="C69" s="477">
        <f>SUM(F13:O13)</f>
        <v>1976177.0250000001</v>
      </c>
      <c r="D69" s="477">
        <f>SUM(F14:O14)</f>
        <v>1672000.2500000002</v>
      </c>
      <c r="E69" s="185">
        <f t="shared" si="155"/>
        <v>3648177.2750000004</v>
      </c>
    </row>
    <row r="70" spans="1:8" s="94" customFormat="1" x14ac:dyDescent="0.25">
      <c r="A70" s="172"/>
      <c r="B70" s="548" t="s">
        <v>518</v>
      </c>
      <c r="C70" s="347">
        <f>SUM(F16:O16)</f>
        <v>1580941.62</v>
      </c>
      <c r="D70" s="347">
        <f>SUM(F17:O17)</f>
        <v>1337600.2000000002</v>
      </c>
      <c r="E70" s="185">
        <f t="shared" si="155"/>
        <v>2918541.8200000003</v>
      </c>
    </row>
    <row r="71" spans="1:8" s="94" customFormat="1" x14ac:dyDescent="0.25">
      <c r="A71" s="172"/>
      <c r="B71" s="548" t="s">
        <v>351</v>
      </c>
      <c r="C71" s="347">
        <f>SUM(F19:O19)</f>
        <v>1976177.0250000001</v>
      </c>
      <c r="D71" s="347">
        <f>SUM(F20:O20)</f>
        <v>1672000.2500000002</v>
      </c>
      <c r="E71" s="185">
        <f t="shared" si="155"/>
        <v>3648177.2750000004</v>
      </c>
    </row>
    <row r="72" spans="1:8" x14ac:dyDescent="0.25">
      <c r="B72" s="548" t="s">
        <v>352</v>
      </c>
      <c r="C72" s="347">
        <f>SUM(F25:O25)</f>
        <v>474282.48599999992</v>
      </c>
      <c r="D72" s="347">
        <f>SUM(F26:O26)</f>
        <v>401280.06</v>
      </c>
      <c r="E72" s="185">
        <f t="shared" si="155"/>
        <v>875562.54599999986</v>
      </c>
    </row>
    <row r="73" spans="1:8" x14ac:dyDescent="0.25">
      <c r="B73" s="548" t="s">
        <v>519</v>
      </c>
      <c r="C73" s="347">
        <f>SUM(F31:O31)</f>
        <v>671900.18849999993</v>
      </c>
      <c r="D73" s="347">
        <f>SUM(F32:O32)</f>
        <v>568480.08500000008</v>
      </c>
      <c r="E73" s="185">
        <f t="shared" si="155"/>
        <v>1240380.2735000001</v>
      </c>
      <c r="F73" s="101" t="s">
        <v>2</v>
      </c>
    </row>
    <row r="74" spans="1:8" s="509" customFormat="1" x14ac:dyDescent="0.25">
      <c r="A74" s="172"/>
      <c r="B74" s="548" t="s">
        <v>636</v>
      </c>
      <c r="C74" s="347">
        <f>SUM(F22:O22)</f>
        <v>790470.81</v>
      </c>
      <c r="D74" s="347">
        <f>SUM(F23:O23)</f>
        <v>668800.10000000009</v>
      </c>
      <c r="E74" s="185">
        <f t="shared" si="155"/>
        <v>1459270.9100000001</v>
      </c>
      <c r="F74" s="101"/>
    </row>
    <row r="75" spans="1:8" s="94" customFormat="1" x14ac:dyDescent="0.25">
      <c r="A75" s="172"/>
      <c r="B75" s="548" t="s">
        <v>353</v>
      </c>
      <c r="C75" s="347">
        <f>SUM(F28:O28)</f>
        <v>8537084.7479999997</v>
      </c>
      <c r="D75" s="347">
        <f>SUM(F29:O29)</f>
        <v>7223041.080000001</v>
      </c>
      <c r="E75" s="185">
        <f t="shared" si="155"/>
        <v>15760125.828000002</v>
      </c>
    </row>
    <row r="76" spans="1:8" s="509" customFormat="1" x14ac:dyDescent="0.25">
      <c r="A76" s="172"/>
      <c r="B76" s="551" t="s">
        <v>634</v>
      </c>
      <c r="C76" s="347">
        <f>SUM(F34:O34)</f>
        <v>592853.10749999993</v>
      </c>
      <c r="D76" s="347">
        <f>SUM(F35:O35)</f>
        <v>501600.07499999995</v>
      </c>
      <c r="E76" s="185">
        <f>C76+D76</f>
        <v>1094453.1824999999</v>
      </c>
    </row>
    <row r="77" spans="1:8" x14ac:dyDescent="0.25">
      <c r="B77" s="549" t="s">
        <v>303</v>
      </c>
      <c r="C77" s="550">
        <f>SUM(C67:C76)</f>
        <v>96437438.820000008</v>
      </c>
      <c r="D77" s="550">
        <f t="shared" ref="D77:E77" si="156">SUM(D67:D76)</f>
        <v>81593612.199999988</v>
      </c>
      <c r="E77" s="550">
        <f t="shared" si="156"/>
        <v>178031051.02000001</v>
      </c>
    </row>
    <row r="79" spans="1:8" s="509" customFormat="1" x14ac:dyDescent="0.25">
      <c r="A79" s="172"/>
      <c r="B79" s="558" t="s">
        <v>640</v>
      </c>
      <c r="E79" s="101"/>
    </row>
    <row r="80" spans="1:8" s="509" customFormat="1" x14ac:dyDescent="0.25">
      <c r="A80" s="172"/>
    </row>
    <row r="81" spans="1:7" s="509" customFormat="1" x14ac:dyDescent="0.25">
      <c r="A81" s="172"/>
      <c r="B81" s="35" t="s">
        <v>638</v>
      </c>
    </row>
    <row r="82" spans="1:7" s="509" customFormat="1" ht="31.5" x14ac:dyDescent="0.25">
      <c r="A82" s="172"/>
      <c r="B82" s="546" t="s">
        <v>616</v>
      </c>
      <c r="C82" s="547" t="s">
        <v>302</v>
      </c>
      <c r="D82" s="510" t="s">
        <v>19</v>
      </c>
      <c r="E82" s="510" t="s">
        <v>303</v>
      </c>
    </row>
    <row r="83" spans="1:7" s="509" customFormat="1" x14ac:dyDescent="0.25">
      <c r="A83" s="172"/>
      <c r="B83" s="31" t="s">
        <v>517</v>
      </c>
      <c r="C83" s="185">
        <f>C52</f>
        <v>69858154</v>
      </c>
      <c r="D83" s="185">
        <f>D52</f>
        <v>32161952</v>
      </c>
      <c r="E83" s="185">
        <f>C83+D83</f>
        <v>102020106</v>
      </c>
    </row>
    <row r="84" spans="1:7" s="509" customFormat="1" x14ac:dyDescent="0.25">
      <c r="A84" s="172"/>
      <c r="B84" s="551" t="s">
        <v>635</v>
      </c>
      <c r="C84" s="477">
        <f>1%*C83</f>
        <v>698581.54</v>
      </c>
      <c r="D84" s="477">
        <f>1%*D83</f>
        <v>321619.52</v>
      </c>
      <c r="E84" s="185">
        <f t="shared" ref="E84:E91" si="157">C84+D84</f>
        <v>1020201.06</v>
      </c>
    </row>
    <row r="85" spans="1:7" s="509" customFormat="1" x14ac:dyDescent="0.25">
      <c r="A85" s="172"/>
      <c r="B85" s="548" t="s">
        <v>350</v>
      </c>
      <c r="C85" s="477">
        <f>2.5%*C83</f>
        <v>1746453.85</v>
      </c>
      <c r="D85" s="477">
        <f>2.5%*D83</f>
        <v>804048.8</v>
      </c>
      <c r="E85" s="185">
        <f t="shared" si="157"/>
        <v>2550502.6500000004</v>
      </c>
    </row>
    <row r="86" spans="1:7" s="509" customFormat="1" x14ac:dyDescent="0.25">
      <c r="A86" s="172"/>
      <c r="B86" s="548" t="s">
        <v>518</v>
      </c>
      <c r="C86" s="347">
        <f>2%*C83</f>
        <v>1397163.08</v>
      </c>
      <c r="D86" s="347">
        <f>2%*D83</f>
        <v>643239.04</v>
      </c>
      <c r="E86" s="185">
        <f t="shared" si="157"/>
        <v>2040402.12</v>
      </c>
    </row>
    <row r="87" spans="1:7" s="509" customFormat="1" x14ac:dyDescent="0.25">
      <c r="A87" s="172"/>
      <c r="B87" s="548" t="s">
        <v>351</v>
      </c>
      <c r="C87" s="347">
        <f>2.5%*C83</f>
        <v>1746453.85</v>
      </c>
      <c r="D87" s="347">
        <f>2.5%*D83</f>
        <v>804048.8</v>
      </c>
      <c r="E87" s="185">
        <f t="shared" si="157"/>
        <v>2550502.6500000004</v>
      </c>
    </row>
    <row r="88" spans="1:7" s="509" customFormat="1" x14ac:dyDescent="0.25">
      <c r="A88" s="172"/>
      <c r="B88" s="548" t="s">
        <v>352</v>
      </c>
      <c r="C88" s="347">
        <f>0.6%*C83</f>
        <v>419148.924</v>
      </c>
      <c r="D88" s="347">
        <f>0.6%*D83</f>
        <v>192971.712</v>
      </c>
      <c r="E88" s="185">
        <f t="shared" si="157"/>
        <v>612120.63599999994</v>
      </c>
    </row>
    <row r="89" spans="1:7" s="509" customFormat="1" x14ac:dyDescent="0.25">
      <c r="A89" s="172"/>
      <c r="B89" s="548" t="s">
        <v>519</v>
      </c>
      <c r="C89" s="347">
        <f>0.85%*C83</f>
        <v>593794.30900000001</v>
      </c>
      <c r="D89" s="347">
        <f>0.85%*D83</f>
        <v>273376.592</v>
      </c>
      <c r="E89" s="185">
        <f t="shared" si="157"/>
        <v>867170.90100000007</v>
      </c>
    </row>
    <row r="90" spans="1:7" s="509" customFormat="1" x14ac:dyDescent="0.25">
      <c r="A90" s="172"/>
      <c r="B90" s="548" t="s">
        <v>636</v>
      </c>
      <c r="C90" s="347">
        <f>1%*C83</f>
        <v>698581.54</v>
      </c>
      <c r="D90" s="347">
        <f>1%*D83</f>
        <v>321619.52</v>
      </c>
      <c r="E90" s="185">
        <f t="shared" si="157"/>
        <v>1020201.06</v>
      </c>
    </row>
    <row r="91" spans="1:7" s="509" customFormat="1" x14ac:dyDescent="0.25">
      <c r="A91" s="172"/>
      <c r="B91" s="548" t="s">
        <v>353</v>
      </c>
      <c r="C91" s="347">
        <f>10%*(C83+C84+C85+C86+C87)</f>
        <v>7544680.6319999993</v>
      </c>
      <c r="D91" s="347">
        <f>10%*(D83+D84+D85+D86+D87)</f>
        <v>3473490.8159999996</v>
      </c>
      <c r="E91" s="185">
        <f t="shared" si="157"/>
        <v>11018171.447999999</v>
      </c>
    </row>
    <row r="92" spans="1:7" s="509" customFormat="1" x14ac:dyDescent="0.25">
      <c r="A92" s="172"/>
      <c r="B92" s="551" t="s">
        <v>634</v>
      </c>
      <c r="C92" s="347">
        <f>0.75%*C83</f>
        <v>523936.15499999997</v>
      </c>
      <c r="D92" s="347">
        <f>0.75%*D83</f>
        <v>241214.63999999998</v>
      </c>
      <c r="E92" s="185">
        <f>C92+D92</f>
        <v>765150.79499999993</v>
      </c>
    </row>
    <row r="93" spans="1:7" s="509" customFormat="1" x14ac:dyDescent="0.25">
      <c r="A93" s="172"/>
      <c r="B93" s="549" t="s">
        <v>303</v>
      </c>
      <c r="C93" s="550">
        <f>SUM(C83:C92)</f>
        <v>85226947.879999995</v>
      </c>
      <c r="D93" s="550">
        <f t="shared" ref="D93" si="158">SUM(D83:D92)</f>
        <v>39237581.439999998</v>
      </c>
      <c r="E93" s="550">
        <f t="shared" ref="E93" si="159">SUM(E83:E92)</f>
        <v>124464529.32000002</v>
      </c>
    </row>
    <row r="94" spans="1:7" s="509" customFormat="1" x14ac:dyDescent="0.25">
      <c r="A94" s="172"/>
    </row>
    <row r="95" spans="1:7" x14ac:dyDescent="0.25">
      <c r="B95" s="218"/>
      <c r="C95" s="218"/>
      <c r="D95" s="218"/>
      <c r="E95" s="218"/>
      <c r="F95" s="218"/>
      <c r="G95" s="218"/>
    </row>
    <row r="96" spans="1:7" s="496" customFormat="1" ht="15.75" x14ac:dyDescent="0.25">
      <c r="A96" s="172"/>
      <c r="B96" s="499"/>
      <c r="C96" s="500"/>
      <c r="D96" s="511"/>
      <c r="E96" s="511"/>
      <c r="F96" s="218"/>
      <c r="G96" s="218"/>
    </row>
    <row r="97" spans="1:9" s="496" customFormat="1" x14ac:dyDescent="0.25">
      <c r="A97" s="172"/>
      <c r="B97" s="559"/>
      <c r="C97" s="560"/>
      <c r="D97" s="559"/>
      <c r="E97" s="560"/>
      <c r="F97" s="560"/>
      <c r="G97" s="559"/>
    </row>
    <row r="98" spans="1:9" s="496" customFormat="1" x14ac:dyDescent="0.25">
      <c r="A98" s="172"/>
      <c r="B98" s="561"/>
      <c r="C98" s="562"/>
      <c r="D98" s="561"/>
      <c r="E98" s="562"/>
      <c r="F98" s="562"/>
      <c r="G98" s="561"/>
    </row>
    <row r="99" spans="1:9" s="496" customFormat="1" x14ac:dyDescent="0.25">
      <c r="A99" s="172"/>
      <c r="B99" s="218"/>
      <c r="C99" s="359"/>
      <c r="D99" s="359"/>
      <c r="E99" s="359"/>
      <c r="F99" s="218"/>
      <c r="G99" s="218"/>
    </row>
    <row r="100" spans="1:9" s="496" customFormat="1" x14ac:dyDescent="0.25">
      <c r="A100" s="172"/>
      <c r="B100" s="218"/>
      <c r="C100" s="359"/>
      <c r="D100" s="359"/>
      <c r="E100" s="359"/>
      <c r="F100" s="218"/>
      <c r="G100" s="218"/>
    </row>
    <row r="101" spans="1:9" s="496" customFormat="1" x14ac:dyDescent="0.25">
      <c r="A101" s="172"/>
      <c r="B101" s="501"/>
      <c r="C101" s="358"/>
      <c r="D101" s="358"/>
      <c r="E101" s="358"/>
      <c r="F101" s="218"/>
      <c r="G101" s="563"/>
      <c r="H101" s="498"/>
    </row>
    <row r="102" spans="1:9" s="496" customFormat="1" x14ac:dyDescent="0.25">
      <c r="A102" s="172"/>
      <c r="G102" s="497"/>
    </row>
    <row r="103" spans="1:9" x14ac:dyDescent="0.25">
      <c r="G103" s="344"/>
      <c r="H103" s="101"/>
    </row>
    <row r="104" spans="1:9" x14ac:dyDescent="0.25">
      <c r="E104" s="101"/>
      <c r="G104" s="335"/>
    </row>
    <row r="105" spans="1:9" x14ac:dyDescent="0.25">
      <c r="B105" s="496"/>
      <c r="C105" s="496"/>
      <c r="D105" s="496"/>
      <c r="I105" s="342"/>
    </row>
    <row r="106" spans="1:9" x14ac:dyDescent="0.25">
      <c r="B106" s="509"/>
      <c r="C106" s="509"/>
      <c r="D106" s="509"/>
      <c r="G106" s="335"/>
      <c r="I106" s="345"/>
    </row>
    <row r="107" spans="1:9" x14ac:dyDescent="0.25">
      <c r="B107" s="496"/>
      <c r="C107" s="496"/>
      <c r="D107" s="496"/>
      <c r="I107" s="346"/>
    </row>
    <row r="108" spans="1:9" x14ac:dyDescent="0.25">
      <c r="B108" s="509"/>
      <c r="C108" s="509"/>
      <c r="D108" s="509"/>
    </row>
    <row r="109" spans="1:9" x14ac:dyDescent="0.25">
      <c r="B109" s="496"/>
      <c r="C109" s="496"/>
      <c r="D109" s="496"/>
    </row>
    <row r="110" spans="1:9" x14ac:dyDescent="0.25">
      <c r="B110" s="509"/>
      <c r="C110" s="509"/>
      <c r="D110" s="509"/>
    </row>
    <row r="111" spans="1:9" x14ac:dyDescent="0.25">
      <c r="B111" s="496"/>
      <c r="C111" s="496"/>
      <c r="D111" s="496"/>
    </row>
    <row r="112" spans="1:9" x14ac:dyDescent="0.25">
      <c r="B112" s="509"/>
      <c r="C112" s="509"/>
      <c r="D112" s="509"/>
    </row>
    <row r="113" spans="2:4" x14ac:dyDescent="0.25">
      <c r="B113" s="496"/>
      <c r="C113" s="496"/>
      <c r="D113" s="496"/>
    </row>
    <row r="114" spans="2:4" x14ac:dyDescent="0.25">
      <c r="B114" s="509"/>
      <c r="C114" s="509"/>
      <c r="D114" s="509"/>
    </row>
    <row r="115" spans="2:4" x14ac:dyDescent="0.25">
      <c r="B115" s="496"/>
      <c r="C115" s="496"/>
      <c r="D115" s="496"/>
    </row>
    <row r="116" spans="2:4" x14ac:dyDescent="0.25">
      <c r="B116" s="509"/>
      <c r="C116" s="509"/>
      <c r="D116" s="509"/>
    </row>
    <row r="117" spans="2:4" x14ac:dyDescent="0.25">
      <c r="B117" s="496"/>
      <c r="C117" s="496"/>
      <c r="D117" s="496"/>
    </row>
  </sheetData>
  <mergeCells count="74">
    <mergeCell ref="P2:S2"/>
    <mergeCell ref="M2:O2"/>
    <mergeCell ref="F1:O1"/>
    <mergeCell ref="T2:Z2"/>
    <mergeCell ref="AH40:AH41"/>
    <mergeCell ref="AB3:AB4"/>
    <mergeCell ref="AC3:AC4"/>
    <mergeCell ref="AD3:AD4"/>
    <mergeCell ref="U3:U4"/>
    <mergeCell ref="V3:V4"/>
    <mergeCell ref="W3:W4"/>
    <mergeCell ref="X3:X4"/>
    <mergeCell ref="Y3:Y4"/>
    <mergeCell ref="Z3:Z4"/>
    <mergeCell ref="O3:O4"/>
    <mergeCell ref="P3:P4"/>
    <mergeCell ref="AI40:AI41"/>
    <mergeCell ref="B1:D1"/>
    <mergeCell ref="N3:N4"/>
    <mergeCell ref="B3:B4"/>
    <mergeCell ref="C3:C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D3:D4"/>
    <mergeCell ref="AA3:AA4"/>
    <mergeCell ref="Q3:Q4"/>
    <mergeCell ref="R3:R4"/>
    <mergeCell ref="S3:S4"/>
    <mergeCell ref="T3:T4"/>
    <mergeCell ref="Q40:Q41"/>
    <mergeCell ref="R40:R41"/>
    <mergeCell ref="S40:S41"/>
    <mergeCell ref="T40:T41"/>
    <mergeCell ref="AG3:AG4"/>
    <mergeCell ref="AH3:AH4"/>
    <mergeCell ref="AI3:AI4"/>
    <mergeCell ref="AJ3:AJ4"/>
    <mergeCell ref="AE3:AE4"/>
    <mergeCell ref="AF3:AF4"/>
    <mergeCell ref="AG40:AG41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Y40:Y41"/>
    <mergeCell ref="Z40:Z41"/>
    <mergeCell ref="AA40:AA41"/>
    <mergeCell ref="N40:N41"/>
    <mergeCell ref="O40:O41"/>
    <mergeCell ref="AD40:AD41"/>
    <mergeCell ref="AE40:AE41"/>
    <mergeCell ref="AF40:AF41"/>
    <mergeCell ref="AB40:AB41"/>
    <mergeCell ref="AC40:AC41"/>
    <mergeCell ref="P40:P41"/>
    <mergeCell ref="U40:U41"/>
    <mergeCell ref="V40:V41"/>
    <mergeCell ref="W40:W41"/>
    <mergeCell ref="X40:X4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9FFCC"/>
  </sheetPr>
  <dimension ref="A1:AJ117"/>
  <sheetViews>
    <sheetView tabSelected="1" zoomScale="93" zoomScaleNormal="93" workbookViewId="0">
      <selection activeCell="H10" sqref="H10"/>
    </sheetView>
  </sheetViews>
  <sheetFormatPr defaultRowHeight="15" x14ac:dyDescent="0.25"/>
  <cols>
    <col min="1" max="1" width="9.140625" style="172"/>
    <col min="2" max="2" width="32.5703125" style="509" customWidth="1"/>
    <col min="3" max="3" width="18.5703125" style="509" customWidth="1"/>
    <col min="4" max="4" width="16" style="509" customWidth="1"/>
    <col min="5" max="5" width="15.85546875" style="509" customWidth="1"/>
    <col min="6" max="6" width="18.42578125" style="509" customWidth="1"/>
    <col min="7" max="7" width="15.42578125" style="509" customWidth="1"/>
    <col min="8" max="8" width="17" style="509" customWidth="1"/>
    <col min="9" max="9" width="15.7109375" style="509" customWidth="1"/>
    <col min="10" max="10" width="13.42578125" style="509" customWidth="1"/>
    <col min="11" max="11" width="11.42578125" style="509" customWidth="1"/>
    <col min="12" max="12" width="15" style="509" customWidth="1"/>
    <col min="13" max="13" width="15.140625" style="509" customWidth="1"/>
    <col min="14" max="14" width="14.140625" style="509" customWidth="1"/>
    <col min="15" max="15" width="15.85546875" style="509" customWidth="1"/>
    <col min="16" max="17" width="12.7109375" style="509" customWidth="1"/>
    <col min="18" max="18" width="12" style="509" customWidth="1"/>
    <col min="19" max="19" width="12.28515625" style="509" customWidth="1"/>
    <col min="20" max="20" width="13.42578125" style="509" customWidth="1"/>
    <col min="21" max="21" width="12.5703125" style="509" customWidth="1"/>
    <col min="22" max="22" width="12.42578125" style="509" customWidth="1"/>
    <col min="23" max="23" width="14.28515625" style="509" customWidth="1"/>
    <col min="24" max="24" width="14" style="509" customWidth="1"/>
    <col min="25" max="25" width="13.5703125" style="509" customWidth="1"/>
    <col min="26" max="26" width="14" style="509" customWidth="1"/>
    <col min="27" max="29" width="11.85546875" style="509" bestFit="1" customWidth="1"/>
    <col min="30" max="33" width="11.7109375" style="509" customWidth="1"/>
    <col min="34" max="34" width="12.5703125" style="509" customWidth="1"/>
    <col min="35" max="35" width="14.140625" style="509" customWidth="1"/>
    <col min="36" max="16384" width="9.140625" style="509"/>
  </cols>
  <sheetData>
    <row r="1" spans="1:36" ht="18.75" x14ac:dyDescent="0.3">
      <c r="B1" s="701" t="s">
        <v>506</v>
      </c>
      <c r="C1" s="701"/>
      <c r="D1" s="701"/>
      <c r="E1" s="184"/>
      <c r="F1" s="710" t="s">
        <v>632</v>
      </c>
      <c r="G1" s="710"/>
      <c r="H1" s="710"/>
      <c r="I1" s="710"/>
      <c r="J1" s="710"/>
      <c r="K1" s="710"/>
      <c r="L1" s="710"/>
      <c r="M1" s="710"/>
      <c r="N1" s="710"/>
      <c r="O1" s="710"/>
    </row>
    <row r="2" spans="1:36" s="172" customFormat="1" ht="15.75" x14ac:dyDescent="0.25">
      <c r="B2" s="173" t="s">
        <v>651</v>
      </c>
      <c r="M2" s="707" t="s">
        <v>631</v>
      </c>
      <c r="N2" s="707"/>
      <c r="O2" s="707"/>
      <c r="P2" s="706" t="s">
        <v>630</v>
      </c>
      <c r="Q2" s="706"/>
      <c r="R2" s="706"/>
      <c r="S2" s="706"/>
      <c r="T2" s="709" t="s">
        <v>633</v>
      </c>
      <c r="U2" s="709"/>
      <c r="V2" s="709"/>
      <c r="W2" s="709"/>
      <c r="X2" s="709"/>
      <c r="Y2" s="709"/>
      <c r="Z2" s="709"/>
    </row>
    <row r="3" spans="1:36" ht="15.75" customHeight="1" x14ac:dyDescent="0.25">
      <c r="B3" s="703" t="s">
        <v>531</v>
      </c>
      <c r="C3" s="705" t="s">
        <v>272</v>
      </c>
      <c r="D3" s="705" t="s">
        <v>303</v>
      </c>
      <c r="E3" s="700">
        <v>2013</v>
      </c>
      <c r="F3" s="700">
        <f>E3+1</f>
        <v>2014</v>
      </c>
      <c r="G3" s="700">
        <f t="shared" ref="G3:AH3" si="0">F3+1</f>
        <v>2015</v>
      </c>
      <c r="H3" s="700">
        <f t="shared" si="0"/>
        <v>2016</v>
      </c>
      <c r="I3" s="700">
        <f t="shared" si="0"/>
        <v>2017</v>
      </c>
      <c r="J3" s="700">
        <f t="shared" si="0"/>
        <v>2018</v>
      </c>
      <c r="K3" s="700">
        <f t="shared" si="0"/>
        <v>2019</v>
      </c>
      <c r="L3" s="700">
        <f t="shared" si="0"/>
        <v>2020</v>
      </c>
      <c r="M3" s="700">
        <f t="shared" si="0"/>
        <v>2021</v>
      </c>
      <c r="N3" s="700">
        <f t="shared" si="0"/>
        <v>2022</v>
      </c>
      <c r="O3" s="700">
        <f t="shared" si="0"/>
        <v>2023</v>
      </c>
      <c r="P3" s="700">
        <f t="shared" si="0"/>
        <v>2024</v>
      </c>
      <c r="Q3" s="700">
        <f t="shared" si="0"/>
        <v>2025</v>
      </c>
      <c r="R3" s="700">
        <f t="shared" si="0"/>
        <v>2026</v>
      </c>
      <c r="S3" s="700">
        <f t="shared" si="0"/>
        <v>2027</v>
      </c>
      <c r="T3" s="700">
        <f t="shared" si="0"/>
        <v>2028</v>
      </c>
      <c r="U3" s="700">
        <f t="shared" si="0"/>
        <v>2029</v>
      </c>
      <c r="V3" s="700">
        <f t="shared" si="0"/>
        <v>2030</v>
      </c>
      <c r="W3" s="700">
        <f t="shared" si="0"/>
        <v>2031</v>
      </c>
      <c r="X3" s="700">
        <f t="shared" si="0"/>
        <v>2032</v>
      </c>
      <c r="Y3" s="700">
        <f t="shared" si="0"/>
        <v>2033</v>
      </c>
      <c r="Z3" s="700">
        <f t="shared" si="0"/>
        <v>2034</v>
      </c>
      <c r="AA3" s="696">
        <f t="shared" si="0"/>
        <v>2035</v>
      </c>
      <c r="AB3" s="696">
        <f t="shared" si="0"/>
        <v>2036</v>
      </c>
      <c r="AC3" s="696">
        <f t="shared" si="0"/>
        <v>2037</v>
      </c>
      <c r="AD3" s="696">
        <f t="shared" si="0"/>
        <v>2038</v>
      </c>
      <c r="AE3" s="696">
        <f t="shared" si="0"/>
        <v>2039</v>
      </c>
      <c r="AF3" s="696">
        <f t="shared" si="0"/>
        <v>2040</v>
      </c>
      <c r="AG3" s="696">
        <f t="shared" si="0"/>
        <v>2041</v>
      </c>
      <c r="AH3" s="696">
        <f t="shared" si="0"/>
        <v>2042</v>
      </c>
      <c r="AI3" s="696">
        <f>AH3+1</f>
        <v>2043</v>
      </c>
      <c r="AJ3" s="699"/>
    </row>
    <row r="4" spans="1:36" x14ac:dyDescent="0.25">
      <c r="B4" s="704"/>
      <c r="C4" s="705"/>
      <c r="D4" s="705"/>
      <c r="E4" s="700"/>
      <c r="F4" s="700"/>
      <c r="G4" s="700"/>
      <c r="H4" s="700"/>
      <c r="I4" s="700"/>
      <c r="J4" s="700"/>
      <c r="K4" s="700"/>
      <c r="L4" s="700"/>
      <c r="M4" s="702"/>
      <c r="N4" s="702"/>
      <c r="O4" s="702"/>
      <c r="P4" s="700"/>
      <c r="Q4" s="700"/>
      <c r="R4" s="700"/>
      <c r="S4" s="700"/>
      <c r="T4" s="700"/>
      <c r="U4" s="700"/>
      <c r="V4" s="700"/>
      <c r="W4" s="700"/>
      <c r="X4" s="700"/>
      <c r="Y4" s="700"/>
      <c r="Z4" s="700"/>
      <c r="AA4" s="696"/>
      <c r="AB4" s="696"/>
      <c r="AC4" s="696"/>
      <c r="AD4" s="696"/>
      <c r="AE4" s="696"/>
      <c r="AF4" s="696"/>
      <c r="AG4" s="696"/>
      <c r="AH4" s="696"/>
      <c r="AI4" s="696"/>
      <c r="AJ4" s="699"/>
    </row>
    <row r="5" spans="1:36" x14ac:dyDescent="0.25">
      <c r="B5" s="513" t="s">
        <v>320</v>
      </c>
      <c r="C5" s="271" t="s">
        <v>316</v>
      </c>
      <c r="D5" s="272"/>
      <c r="E5" s="272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272"/>
      <c r="R5" s="272"/>
      <c r="S5" s="272"/>
      <c r="T5" s="272"/>
      <c r="U5" s="272"/>
      <c r="V5" s="272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</row>
    <row r="6" spans="1:36" x14ac:dyDescent="0.25">
      <c r="B6" s="273" t="s">
        <v>302</v>
      </c>
      <c r="C6" s="274">
        <f>'6,3,1'!H287</f>
        <v>66026546.399999999</v>
      </c>
      <c r="D6" s="275">
        <f>SUM(E6:AI6)</f>
        <v>100518878.33000004</v>
      </c>
      <c r="E6" s="272"/>
      <c r="F6" s="542">
        <f t="shared" ref="F6:L6" si="1">$C$51*10%</f>
        <v>974026.2620000001</v>
      </c>
      <c r="G6" s="542">
        <f t="shared" si="1"/>
        <v>974026.2620000001</v>
      </c>
      <c r="H6" s="542">
        <f t="shared" si="1"/>
        <v>974026.2620000001</v>
      </c>
      <c r="I6" s="542">
        <f t="shared" si="1"/>
        <v>974026.2620000001</v>
      </c>
      <c r="J6" s="542">
        <f t="shared" si="1"/>
        <v>974026.2620000001</v>
      </c>
      <c r="K6" s="542">
        <f t="shared" si="1"/>
        <v>974026.2620000001</v>
      </c>
      <c r="L6" s="542">
        <f t="shared" si="1"/>
        <v>974026.2620000001</v>
      </c>
      <c r="M6" s="545">
        <f>$C$51*10%+(C52*30%)</f>
        <v>23188919.234000005</v>
      </c>
      <c r="N6" s="545">
        <f>$C$51*10%+(C52*35%)</f>
        <v>26891401.396000005</v>
      </c>
      <c r="O6" s="545">
        <f>$C$51*10%+(C52*35%)</f>
        <v>26891401.396000005</v>
      </c>
      <c r="P6" s="276">
        <f>$C$53/4</f>
        <v>4182243.1175000002</v>
      </c>
      <c r="Q6" s="276">
        <f>$C$53/4</f>
        <v>4182243.1175000002</v>
      </c>
      <c r="R6" s="276">
        <f>$C$53/4</f>
        <v>4182243.1175000002</v>
      </c>
      <c r="S6" s="276">
        <f>$C$53/4</f>
        <v>4182243.1175000002</v>
      </c>
      <c r="T6" s="276">
        <f t="shared" ref="T6:Z6" si="2">$C$99/7</f>
        <v>0</v>
      </c>
      <c r="U6" s="276">
        <f t="shared" si="2"/>
        <v>0</v>
      </c>
      <c r="V6" s="276">
        <f t="shared" si="2"/>
        <v>0</v>
      </c>
      <c r="W6" s="276">
        <f t="shared" si="2"/>
        <v>0</v>
      </c>
      <c r="X6" s="276">
        <f t="shared" si="2"/>
        <v>0</v>
      </c>
      <c r="Y6" s="276">
        <f t="shared" si="2"/>
        <v>0</v>
      </c>
      <c r="Z6" s="276">
        <f t="shared" si="2"/>
        <v>0</v>
      </c>
      <c r="AA6" s="276">
        <v>0</v>
      </c>
      <c r="AB6" s="276">
        <v>0</v>
      </c>
      <c r="AC6" s="276">
        <v>0</v>
      </c>
      <c r="AD6" s="276">
        <v>0</v>
      </c>
      <c r="AE6" s="276">
        <v>0</v>
      </c>
      <c r="AF6" s="276">
        <v>0</v>
      </c>
      <c r="AG6" s="276">
        <v>0</v>
      </c>
      <c r="AH6" s="276">
        <v>0</v>
      </c>
      <c r="AI6" s="276">
        <v>0</v>
      </c>
    </row>
    <row r="7" spans="1:36" x14ac:dyDescent="0.25">
      <c r="B7" s="273" t="s">
        <v>321</v>
      </c>
      <c r="C7" s="274">
        <f>'6,3,1'!H288</f>
        <v>94006951.499412</v>
      </c>
      <c r="D7" s="275">
        <f>SUM(E7:AG7)</f>
        <v>168117528.52000004</v>
      </c>
      <c r="E7" s="272"/>
      <c r="F7" s="542">
        <f t="shared" ref="F7:L7" si="3">$D$51*10%</f>
        <v>3680114.1480000005</v>
      </c>
      <c r="G7" s="542">
        <f t="shared" si="3"/>
        <v>3680114.1480000005</v>
      </c>
      <c r="H7" s="542">
        <f t="shared" si="3"/>
        <v>3680114.1480000005</v>
      </c>
      <c r="I7" s="542">
        <f t="shared" si="3"/>
        <v>3680114.1480000005</v>
      </c>
      <c r="J7" s="542">
        <f t="shared" si="3"/>
        <v>3680114.1480000005</v>
      </c>
      <c r="K7" s="542">
        <f t="shared" si="3"/>
        <v>3680114.1480000005</v>
      </c>
      <c r="L7" s="542">
        <f t="shared" si="3"/>
        <v>3680114.1480000005</v>
      </c>
      <c r="M7" s="545">
        <f>$D$51*10%+(D52*30%)</f>
        <v>13907614.884000001</v>
      </c>
      <c r="N7" s="545">
        <f>$D$51*10%+(D52*35%)</f>
        <v>15612198.340000002</v>
      </c>
      <c r="O7" s="545">
        <f>$D$51*10%+(D52*35%)</f>
        <v>15612198.340000002</v>
      </c>
      <c r="P7" s="276">
        <f>$D$53/4</f>
        <v>23743292.98</v>
      </c>
      <c r="Q7" s="276">
        <f>$D$53/4</f>
        <v>23743292.98</v>
      </c>
      <c r="R7" s="276">
        <f>$D$53/4</f>
        <v>23743292.98</v>
      </c>
      <c r="S7" s="276">
        <f>$D$53/4</f>
        <v>23743292.98</v>
      </c>
      <c r="T7" s="276">
        <f t="shared" ref="T7:Z7" si="4">$D$54/7</f>
        <v>321649.42857142858</v>
      </c>
      <c r="U7" s="276">
        <f t="shared" si="4"/>
        <v>321649.42857142858</v>
      </c>
      <c r="V7" s="276">
        <f t="shared" si="4"/>
        <v>321649.42857142858</v>
      </c>
      <c r="W7" s="276">
        <f t="shared" si="4"/>
        <v>321649.42857142858</v>
      </c>
      <c r="X7" s="276">
        <f t="shared" si="4"/>
        <v>321649.42857142858</v>
      </c>
      <c r="Y7" s="276">
        <f t="shared" si="4"/>
        <v>321649.42857142858</v>
      </c>
      <c r="Z7" s="276">
        <f t="shared" si="4"/>
        <v>321649.42857142858</v>
      </c>
      <c r="AA7" s="276">
        <v>0</v>
      </c>
      <c r="AB7" s="276">
        <v>0</v>
      </c>
      <c r="AC7" s="276">
        <v>0</v>
      </c>
      <c r="AD7" s="276">
        <v>0</v>
      </c>
      <c r="AE7" s="276">
        <v>0</v>
      </c>
      <c r="AF7" s="276">
        <v>0</v>
      </c>
      <c r="AG7" s="276">
        <v>0</v>
      </c>
      <c r="AH7" s="276">
        <v>0</v>
      </c>
      <c r="AI7" s="276">
        <v>0</v>
      </c>
    </row>
    <row r="8" spans="1:36" x14ac:dyDescent="0.25">
      <c r="B8" s="271" t="s">
        <v>349</v>
      </c>
      <c r="C8" s="274">
        <f>'6,3,1'!H286</f>
        <v>160033497.89941198</v>
      </c>
      <c r="D8" s="275">
        <f>SUM(E8:AG8)</f>
        <v>268636406.85000002</v>
      </c>
      <c r="E8" s="272"/>
      <c r="F8" s="553">
        <f>SUM(F6:F7)</f>
        <v>4654140.41</v>
      </c>
      <c r="G8" s="553">
        <f t="shared" ref="G8:AI8" si="5">SUM(G6:G7)</f>
        <v>4654140.41</v>
      </c>
      <c r="H8" s="553">
        <f t="shared" si="5"/>
        <v>4654140.41</v>
      </c>
      <c r="I8" s="553">
        <f t="shared" si="5"/>
        <v>4654140.41</v>
      </c>
      <c r="J8" s="553">
        <f t="shared" si="5"/>
        <v>4654140.41</v>
      </c>
      <c r="K8" s="553">
        <f t="shared" si="5"/>
        <v>4654140.41</v>
      </c>
      <c r="L8" s="554">
        <f t="shared" si="5"/>
        <v>4654140.41</v>
      </c>
      <c r="M8" s="553">
        <f t="shared" si="5"/>
        <v>37096534.118000008</v>
      </c>
      <c r="N8" s="553">
        <f t="shared" si="5"/>
        <v>42503599.736000009</v>
      </c>
      <c r="O8" s="553">
        <f t="shared" si="5"/>
        <v>42503599.736000009</v>
      </c>
      <c r="P8" s="555">
        <f t="shared" si="5"/>
        <v>27925536.0975</v>
      </c>
      <c r="Q8" s="556">
        <f t="shared" si="5"/>
        <v>27925536.0975</v>
      </c>
      <c r="R8" s="556">
        <f t="shared" si="5"/>
        <v>27925536.0975</v>
      </c>
      <c r="S8" s="556">
        <f t="shared" si="5"/>
        <v>27925536.0975</v>
      </c>
      <c r="T8" s="556">
        <f t="shared" si="5"/>
        <v>321649.42857142858</v>
      </c>
      <c r="U8" s="556">
        <f t="shared" si="5"/>
        <v>321649.42857142858</v>
      </c>
      <c r="V8" s="556">
        <f t="shared" si="5"/>
        <v>321649.42857142858</v>
      </c>
      <c r="W8" s="556">
        <f t="shared" si="5"/>
        <v>321649.42857142858</v>
      </c>
      <c r="X8" s="556">
        <f t="shared" si="5"/>
        <v>321649.42857142858</v>
      </c>
      <c r="Y8" s="556">
        <f t="shared" si="5"/>
        <v>321649.42857142858</v>
      </c>
      <c r="Z8" s="556">
        <f t="shared" si="5"/>
        <v>321649.42857142858</v>
      </c>
      <c r="AA8" s="276">
        <f t="shared" si="5"/>
        <v>0</v>
      </c>
      <c r="AB8" s="276">
        <f t="shared" si="5"/>
        <v>0</v>
      </c>
      <c r="AC8" s="276">
        <f t="shared" si="5"/>
        <v>0</v>
      </c>
      <c r="AD8" s="276">
        <f t="shared" si="5"/>
        <v>0</v>
      </c>
      <c r="AE8" s="276">
        <f t="shared" si="5"/>
        <v>0</v>
      </c>
      <c r="AF8" s="276">
        <f t="shared" si="5"/>
        <v>0</v>
      </c>
      <c r="AG8" s="276">
        <f t="shared" si="5"/>
        <v>0</v>
      </c>
      <c r="AH8" s="276">
        <f t="shared" si="5"/>
        <v>0</v>
      </c>
      <c r="AI8" s="276">
        <f t="shared" si="5"/>
        <v>0</v>
      </c>
    </row>
    <row r="9" spans="1:36" x14ac:dyDescent="0.25">
      <c r="A9" s="172">
        <v>1</v>
      </c>
      <c r="B9" s="271" t="s">
        <v>637</v>
      </c>
      <c r="C9" s="274"/>
      <c r="D9" s="275">
        <f>D10+D11</f>
        <v>2686364.068500001</v>
      </c>
      <c r="E9" s="272"/>
      <c r="F9" s="542">
        <f>F10+F11</f>
        <v>46541.404100000007</v>
      </c>
      <c r="G9" s="542">
        <f t="shared" ref="G9:AI9" si="6">G10+G11</f>
        <v>46541.404100000007</v>
      </c>
      <c r="H9" s="542">
        <f t="shared" si="6"/>
        <v>46541.404100000007</v>
      </c>
      <c r="I9" s="542">
        <f t="shared" si="6"/>
        <v>46541.404100000007</v>
      </c>
      <c r="J9" s="542">
        <f t="shared" si="6"/>
        <v>46541.404100000007</v>
      </c>
      <c r="K9" s="542">
        <f t="shared" si="6"/>
        <v>46541.404100000007</v>
      </c>
      <c r="L9" s="542">
        <f t="shared" si="6"/>
        <v>46541.404100000007</v>
      </c>
      <c r="M9" s="542">
        <f t="shared" si="6"/>
        <v>370965.3411800001</v>
      </c>
      <c r="N9" s="542">
        <f t="shared" si="6"/>
        <v>425035.9973600001</v>
      </c>
      <c r="O9" s="542">
        <f t="shared" si="6"/>
        <v>425035.9973600001</v>
      </c>
      <c r="P9" s="542">
        <f t="shared" si="6"/>
        <v>279255.36097500002</v>
      </c>
      <c r="Q9" s="542">
        <f t="shared" si="6"/>
        <v>279255.36097500002</v>
      </c>
      <c r="R9" s="542">
        <f t="shared" si="6"/>
        <v>279255.36097500002</v>
      </c>
      <c r="S9" s="542">
        <f t="shared" si="6"/>
        <v>279255.36097500002</v>
      </c>
      <c r="T9" s="542">
        <f t="shared" si="6"/>
        <v>3216.494285714286</v>
      </c>
      <c r="U9" s="542">
        <f t="shared" si="6"/>
        <v>3216.494285714286</v>
      </c>
      <c r="V9" s="542">
        <f t="shared" si="6"/>
        <v>3216.494285714286</v>
      </c>
      <c r="W9" s="542">
        <f t="shared" si="6"/>
        <v>3216.494285714286</v>
      </c>
      <c r="X9" s="542">
        <f t="shared" si="6"/>
        <v>3216.494285714286</v>
      </c>
      <c r="Y9" s="542">
        <f t="shared" si="6"/>
        <v>3216.494285714286</v>
      </c>
      <c r="Z9" s="542">
        <f t="shared" si="6"/>
        <v>3216.494285714286</v>
      </c>
      <c r="AA9" s="542">
        <f t="shared" si="6"/>
        <v>0</v>
      </c>
      <c r="AB9" s="542">
        <f t="shared" si="6"/>
        <v>0</v>
      </c>
      <c r="AC9" s="542">
        <f t="shared" si="6"/>
        <v>0</v>
      </c>
      <c r="AD9" s="542">
        <f t="shared" si="6"/>
        <v>0</v>
      </c>
      <c r="AE9" s="542">
        <f t="shared" si="6"/>
        <v>0</v>
      </c>
      <c r="AF9" s="542">
        <f t="shared" si="6"/>
        <v>0</v>
      </c>
      <c r="AG9" s="542">
        <f t="shared" si="6"/>
        <v>0</v>
      </c>
      <c r="AH9" s="542">
        <f t="shared" si="6"/>
        <v>0</v>
      </c>
      <c r="AI9" s="542">
        <f t="shared" si="6"/>
        <v>0</v>
      </c>
    </row>
    <row r="10" spans="1:36" x14ac:dyDescent="0.25">
      <c r="B10" s="273" t="s">
        <v>302</v>
      </c>
      <c r="C10" s="274"/>
      <c r="D10" s="275">
        <f>SUM(F10:Z10)</f>
        <v>1005188.7833000005</v>
      </c>
      <c r="E10" s="272"/>
      <c r="F10" s="542">
        <f>1%*F6</f>
        <v>9740.2626200000013</v>
      </c>
      <c r="G10" s="542">
        <f t="shared" ref="G10:AI11" si="7">1%*G6</f>
        <v>9740.2626200000013</v>
      </c>
      <c r="H10" s="542">
        <f t="shared" si="7"/>
        <v>9740.2626200000013</v>
      </c>
      <c r="I10" s="542">
        <f t="shared" si="7"/>
        <v>9740.2626200000013</v>
      </c>
      <c r="J10" s="542">
        <f t="shared" si="7"/>
        <v>9740.2626200000013</v>
      </c>
      <c r="K10" s="542">
        <f t="shared" si="7"/>
        <v>9740.2626200000013</v>
      </c>
      <c r="L10" s="542">
        <f t="shared" si="7"/>
        <v>9740.2626200000013</v>
      </c>
      <c r="M10" s="542">
        <f t="shared" si="7"/>
        <v>231889.19234000007</v>
      </c>
      <c r="N10" s="542">
        <f t="shared" si="7"/>
        <v>268914.01396000007</v>
      </c>
      <c r="O10" s="542">
        <f t="shared" si="7"/>
        <v>268914.01396000007</v>
      </c>
      <c r="P10" s="542">
        <f t="shared" si="7"/>
        <v>41822.431175000005</v>
      </c>
      <c r="Q10" s="542">
        <f t="shared" si="7"/>
        <v>41822.431175000005</v>
      </c>
      <c r="R10" s="542">
        <f t="shared" si="7"/>
        <v>41822.431175000005</v>
      </c>
      <c r="S10" s="542">
        <f t="shared" si="7"/>
        <v>41822.431175000005</v>
      </c>
      <c r="T10" s="542">
        <f t="shared" si="7"/>
        <v>0</v>
      </c>
      <c r="U10" s="542">
        <f t="shared" si="7"/>
        <v>0</v>
      </c>
      <c r="V10" s="542">
        <f t="shared" si="7"/>
        <v>0</v>
      </c>
      <c r="W10" s="542">
        <f t="shared" si="7"/>
        <v>0</v>
      </c>
      <c r="X10" s="542">
        <f t="shared" si="7"/>
        <v>0</v>
      </c>
      <c r="Y10" s="542">
        <f t="shared" si="7"/>
        <v>0</v>
      </c>
      <c r="Z10" s="542">
        <f t="shared" si="7"/>
        <v>0</v>
      </c>
      <c r="AA10" s="542">
        <f t="shared" si="7"/>
        <v>0</v>
      </c>
      <c r="AB10" s="542">
        <f t="shared" si="7"/>
        <v>0</v>
      </c>
      <c r="AC10" s="542">
        <f t="shared" si="7"/>
        <v>0</v>
      </c>
      <c r="AD10" s="542">
        <f t="shared" si="7"/>
        <v>0</v>
      </c>
      <c r="AE10" s="542">
        <f t="shared" si="7"/>
        <v>0</v>
      </c>
      <c r="AF10" s="542">
        <f t="shared" si="7"/>
        <v>0</v>
      </c>
      <c r="AG10" s="542">
        <f t="shared" si="7"/>
        <v>0</v>
      </c>
      <c r="AH10" s="542">
        <f t="shared" si="7"/>
        <v>0</v>
      </c>
      <c r="AI10" s="542">
        <f t="shared" si="7"/>
        <v>0</v>
      </c>
    </row>
    <row r="11" spans="1:36" x14ac:dyDescent="0.25">
      <c r="B11" s="273" t="s">
        <v>321</v>
      </c>
      <c r="C11" s="274"/>
      <c r="D11" s="275">
        <f>SUM(F11:Z11)</f>
        <v>1681175.2852000005</v>
      </c>
      <c r="E11" s="272"/>
      <c r="F11" s="542">
        <f>1%*F7</f>
        <v>36801.141480000006</v>
      </c>
      <c r="G11" s="542">
        <f t="shared" si="7"/>
        <v>36801.141480000006</v>
      </c>
      <c r="H11" s="542">
        <f t="shared" si="7"/>
        <v>36801.141480000006</v>
      </c>
      <c r="I11" s="542">
        <f t="shared" si="7"/>
        <v>36801.141480000006</v>
      </c>
      <c r="J11" s="542">
        <f t="shared" si="7"/>
        <v>36801.141480000006</v>
      </c>
      <c r="K11" s="542">
        <f t="shared" si="7"/>
        <v>36801.141480000006</v>
      </c>
      <c r="L11" s="542">
        <f t="shared" si="7"/>
        <v>36801.141480000006</v>
      </c>
      <c r="M11" s="542">
        <f t="shared" si="7"/>
        <v>139076.14884000001</v>
      </c>
      <c r="N11" s="542">
        <f t="shared" si="7"/>
        <v>156121.98340000003</v>
      </c>
      <c r="O11" s="542">
        <f t="shared" si="7"/>
        <v>156121.98340000003</v>
      </c>
      <c r="P11" s="542">
        <f t="shared" si="7"/>
        <v>237432.92980000001</v>
      </c>
      <c r="Q11" s="542">
        <f t="shared" si="7"/>
        <v>237432.92980000001</v>
      </c>
      <c r="R11" s="542">
        <f t="shared" si="7"/>
        <v>237432.92980000001</v>
      </c>
      <c r="S11" s="542">
        <f t="shared" si="7"/>
        <v>237432.92980000001</v>
      </c>
      <c r="T11" s="542">
        <f t="shared" si="7"/>
        <v>3216.494285714286</v>
      </c>
      <c r="U11" s="542">
        <f t="shared" si="7"/>
        <v>3216.494285714286</v>
      </c>
      <c r="V11" s="542">
        <f t="shared" si="7"/>
        <v>3216.494285714286</v>
      </c>
      <c r="W11" s="542">
        <f t="shared" si="7"/>
        <v>3216.494285714286</v>
      </c>
      <c r="X11" s="542">
        <f t="shared" si="7"/>
        <v>3216.494285714286</v>
      </c>
      <c r="Y11" s="542">
        <f t="shared" si="7"/>
        <v>3216.494285714286</v>
      </c>
      <c r="Z11" s="542">
        <f t="shared" si="7"/>
        <v>3216.494285714286</v>
      </c>
      <c r="AA11" s="542">
        <f t="shared" si="7"/>
        <v>0</v>
      </c>
      <c r="AB11" s="542">
        <f t="shared" si="7"/>
        <v>0</v>
      </c>
      <c r="AC11" s="542">
        <f t="shared" si="7"/>
        <v>0</v>
      </c>
      <c r="AD11" s="542">
        <f t="shared" si="7"/>
        <v>0</v>
      </c>
      <c r="AE11" s="542">
        <f t="shared" si="7"/>
        <v>0</v>
      </c>
      <c r="AF11" s="542">
        <f t="shared" si="7"/>
        <v>0</v>
      </c>
      <c r="AG11" s="542">
        <f t="shared" si="7"/>
        <v>0</v>
      </c>
      <c r="AH11" s="542">
        <f t="shared" si="7"/>
        <v>0</v>
      </c>
      <c r="AI11" s="542">
        <f t="shared" si="7"/>
        <v>0</v>
      </c>
    </row>
    <row r="12" spans="1:36" x14ac:dyDescent="0.25">
      <c r="A12" s="172">
        <v>2.5</v>
      </c>
      <c r="B12" s="351" t="s">
        <v>350</v>
      </c>
      <c r="C12" s="274"/>
      <c r="D12" s="277">
        <f>SUM(E12:AG12)</f>
        <v>6715910.1712499987</v>
      </c>
      <c r="E12" s="272"/>
      <c r="F12" s="543">
        <f>SUM(F13:F14)</f>
        <v>116353.51025000002</v>
      </c>
      <c r="G12" s="543">
        <f t="shared" ref="G12:AI12" si="8">SUM(G13:G14)</f>
        <v>116353.51025000002</v>
      </c>
      <c r="H12" s="543">
        <f t="shared" si="8"/>
        <v>116353.51025000002</v>
      </c>
      <c r="I12" s="543">
        <f t="shared" si="8"/>
        <v>116353.51025000002</v>
      </c>
      <c r="J12" s="543">
        <f t="shared" si="8"/>
        <v>116353.51025000002</v>
      </c>
      <c r="K12" s="543">
        <f t="shared" si="8"/>
        <v>116353.51025000002</v>
      </c>
      <c r="L12" s="544">
        <f t="shared" si="8"/>
        <v>116353.51025000002</v>
      </c>
      <c r="M12" s="543">
        <f t="shared" si="8"/>
        <v>927413.3529500002</v>
      </c>
      <c r="N12" s="543">
        <f t="shared" si="8"/>
        <v>1062589.9934000003</v>
      </c>
      <c r="O12" s="543">
        <f t="shared" si="8"/>
        <v>1062589.9934000003</v>
      </c>
      <c r="P12" s="468">
        <f t="shared" si="8"/>
        <v>698138.40243749996</v>
      </c>
      <c r="Q12" s="278">
        <f t="shared" si="8"/>
        <v>698138.40243749996</v>
      </c>
      <c r="R12" s="278">
        <f t="shared" si="8"/>
        <v>698138.40243749996</v>
      </c>
      <c r="S12" s="278">
        <f t="shared" si="8"/>
        <v>698138.40243749996</v>
      </c>
      <c r="T12" s="278">
        <f t="shared" si="8"/>
        <v>8041.2357142857145</v>
      </c>
      <c r="U12" s="278">
        <f t="shared" si="8"/>
        <v>8041.2357142857145</v>
      </c>
      <c r="V12" s="278">
        <f t="shared" si="8"/>
        <v>8041.2357142857145</v>
      </c>
      <c r="W12" s="278">
        <f t="shared" si="8"/>
        <v>8041.2357142857145</v>
      </c>
      <c r="X12" s="278">
        <f t="shared" si="8"/>
        <v>8041.2357142857145</v>
      </c>
      <c r="Y12" s="278">
        <f t="shared" si="8"/>
        <v>8041.2357142857145</v>
      </c>
      <c r="Z12" s="278">
        <f t="shared" si="8"/>
        <v>8041.2357142857145</v>
      </c>
      <c r="AA12" s="278">
        <f t="shared" si="8"/>
        <v>0</v>
      </c>
      <c r="AB12" s="278">
        <f t="shared" si="8"/>
        <v>0</v>
      </c>
      <c r="AC12" s="278">
        <f t="shared" si="8"/>
        <v>0</v>
      </c>
      <c r="AD12" s="278">
        <f t="shared" si="8"/>
        <v>0</v>
      </c>
      <c r="AE12" s="278">
        <f t="shared" si="8"/>
        <v>0</v>
      </c>
      <c r="AF12" s="278">
        <f t="shared" si="8"/>
        <v>0</v>
      </c>
      <c r="AG12" s="278">
        <f t="shared" si="8"/>
        <v>0</v>
      </c>
      <c r="AH12" s="278">
        <f t="shared" si="8"/>
        <v>0</v>
      </c>
      <c r="AI12" s="278">
        <f t="shared" si="8"/>
        <v>0</v>
      </c>
    </row>
    <row r="13" spans="1:36" x14ac:dyDescent="0.25">
      <c r="B13" s="349" t="s">
        <v>302</v>
      </c>
      <c r="C13" s="274"/>
      <c r="D13" s="275">
        <f t="shared" ref="D13:D38" si="9">SUM(E13:AG13)</f>
        <v>2512971.9582500011</v>
      </c>
      <c r="E13" s="272"/>
      <c r="F13" s="542">
        <f>2.5%*F6</f>
        <v>24350.656550000003</v>
      </c>
      <c r="G13" s="542">
        <f t="shared" ref="G13:AI14" si="10">2.5%*G6</f>
        <v>24350.656550000003</v>
      </c>
      <c r="H13" s="542">
        <f t="shared" si="10"/>
        <v>24350.656550000003</v>
      </c>
      <c r="I13" s="542">
        <f t="shared" si="10"/>
        <v>24350.656550000003</v>
      </c>
      <c r="J13" s="542">
        <f t="shared" si="10"/>
        <v>24350.656550000003</v>
      </c>
      <c r="K13" s="542">
        <f t="shared" si="10"/>
        <v>24350.656550000003</v>
      </c>
      <c r="L13" s="542">
        <f t="shared" si="10"/>
        <v>24350.656550000003</v>
      </c>
      <c r="M13" s="542">
        <f t="shared" si="10"/>
        <v>579722.98085000017</v>
      </c>
      <c r="N13" s="542">
        <f t="shared" si="10"/>
        <v>672285.0349000002</v>
      </c>
      <c r="O13" s="542">
        <f t="shared" si="10"/>
        <v>672285.0349000002</v>
      </c>
      <c r="P13" s="276">
        <f t="shared" si="10"/>
        <v>104556.07793750001</v>
      </c>
      <c r="Q13" s="276">
        <f t="shared" si="10"/>
        <v>104556.07793750001</v>
      </c>
      <c r="R13" s="276">
        <f t="shared" si="10"/>
        <v>104556.07793750001</v>
      </c>
      <c r="S13" s="276">
        <f t="shared" si="10"/>
        <v>104556.07793750001</v>
      </c>
      <c r="T13" s="276">
        <f t="shared" si="10"/>
        <v>0</v>
      </c>
      <c r="U13" s="276">
        <f t="shared" si="10"/>
        <v>0</v>
      </c>
      <c r="V13" s="276">
        <f t="shared" si="10"/>
        <v>0</v>
      </c>
      <c r="W13" s="276">
        <f t="shared" si="10"/>
        <v>0</v>
      </c>
      <c r="X13" s="276">
        <f t="shared" si="10"/>
        <v>0</v>
      </c>
      <c r="Y13" s="276">
        <f t="shared" si="10"/>
        <v>0</v>
      </c>
      <c r="Z13" s="276">
        <f t="shared" si="10"/>
        <v>0</v>
      </c>
      <c r="AA13" s="276">
        <f t="shared" si="10"/>
        <v>0</v>
      </c>
      <c r="AB13" s="276">
        <f t="shared" si="10"/>
        <v>0</v>
      </c>
      <c r="AC13" s="276">
        <f t="shared" si="10"/>
        <v>0</v>
      </c>
      <c r="AD13" s="276">
        <f t="shared" si="10"/>
        <v>0</v>
      </c>
      <c r="AE13" s="276">
        <f t="shared" si="10"/>
        <v>0</v>
      </c>
      <c r="AF13" s="276">
        <f t="shared" si="10"/>
        <v>0</v>
      </c>
      <c r="AG13" s="276">
        <f t="shared" si="10"/>
        <v>0</v>
      </c>
      <c r="AH13" s="276">
        <f t="shared" si="10"/>
        <v>0</v>
      </c>
      <c r="AI13" s="276">
        <f t="shared" si="10"/>
        <v>0</v>
      </c>
    </row>
    <row r="14" spans="1:36" x14ac:dyDescent="0.25">
      <c r="B14" s="350" t="s">
        <v>321</v>
      </c>
      <c r="C14" s="274"/>
      <c r="D14" s="275">
        <f t="shared" si="9"/>
        <v>4202938.2130000005</v>
      </c>
      <c r="E14" s="272"/>
      <c r="F14" s="542">
        <f>2.5%*F7</f>
        <v>92002.853700000021</v>
      </c>
      <c r="G14" s="542">
        <f t="shared" si="10"/>
        <v>92002.853700000021</v>
      </c>
      <c r="H14" s="542">
        <f t="shared" si="10"/>
        <v>92002.853700000021</v>
      </c>
      <c r="I14" s="542">
        <f t="shared" si="10"/>
        <v>92002.853700000021</v>
      </c>
      <c r="J14" s="542">
        <f t="shared" si="10"/>
        <v>92002.853700000021</v>
      </c>
      <c r="K14" s="542">
        <f t="shared" si="10"/>
        <v>92002.853700000021</v>
      </c>
      <c r="L14" s="542">
        <f t="shared" si="10"/>
        <v>92002.853700000021</v>
      </c>
      <c r="M14" s="542">
        <f t="shared" si="10"/>
        <v>347690.37210000004</v>
      </c>
      <c r="N14" s="542">
        <f t="shared" si="10"/>
        <v>390304.95850000007</v>
      </c>
      <c r="O14" s="542">
        <f t="shared" si="10"/>
        <v>390304.95850000007</v>
      </c>
      <c r="P14" s="276">
        <f t="shared" si="10"/>
        <v>593582.32449999999</v>
      </c>
      <c r="Q14" s="276">
        <f t="shared" si="10"/>
        <v>593582.32449999999</v>
      </c>
      <c r="R14" s="276">
        <f t="shared" si="10"/>
        <v>593582.32449999999</v>
      </c>
      <c r="S14" s="276">
        <f t="shared" si="10"/>
        <v>593582.32449999999</v>
      </c>
      <c r="T14" s="276">
        <f t="shared" si="10"/>
        <v>8041.2357142857145</v>
      </c>
      <c r="U14" s="276">
        <f t="shared" si="10"/>
        <v>8041.2357142857145</v>
      </c>
      <c r="V14" s="276">
        <f t="shared" si="10"/>
        <v>8041.2357142857145</v>
      </c>
      <c r="W14" s="276">
        <f t="shared" si="10"/>
        <v>8041.2357142857145</v>
      </c>
      <c r="X14" s="276">
        <f t="shared" si="10"/>
        <v>8041.2357142857145</v>
      </c>
      <c r="Y14" s="276">
        <f t="shared" si="10"/>
        <v>8041.2357142857145</v>
      </c>
      <c r="Z14" s="276">
        <f t="shared" si="10"/>
        <v>8041.2357142857145</v>
      </c>
      <c r="AA14" s="276">
        <f t="shared" si="10"/>
        <v>0</v>
      </c>
      <c r="AB14" s="276">
        <f t="shared" si="10"/>
        <v>0</v>
      </c>
      <c r="AC14" s="276">
        <f t="shared" si="10"/>
        <v>0</v>
      </c>
      <c r="AD14" s="276">
        <f t="shared" si="10"/>
        <v>0</v>
      </c>
      <c r="AE14" s="276">
        <f t="shared" si="10"/>
        <v>0</v>
      </c>
      <c r="AF14" s="276">
        <f t="shared" si="10"/>
        <v>0</v>
      </c>
      <c r="AG14" s="276">
        <f t="shared" si="10"/>
        <v>0</v>
      </c>
      <c r="AH14" s="276">
        <f t="shared" si="10"/>
        <v>0</v>
      </c>
      <c r="AI14" s="276">
        <f t="shared" si="10"/>
        <v>0</v>
      </c>
    </row>
    <row r="15" spans="1:36" ht="24.75" x14ac:dyDescent="0.25">
      <c r="A15" s="172">
        <v>2</v>
      </c>
      <c r="B15" s="352" t="s">
        <v>525</v>
      </c>
      <c r="C15" s="274"/>
      <c r="D15" s="277">
        <f t="shared" si="9"/>
        <v>5372728.137000002</v>
      </c>
      <c r="E15" s="272"/>
      <c r="F15" s="278">
        <f>SUM(F16:F17)</f>
        <v>93082.808200000014</v>
      </c>
      <c r="G15" s="278">
        <f t="shared" ref="G15:AI15" si="11">SUM(G16:G17)</f>
        <v>93082.808200000014</v>
      </c>
      <c r="H15" s="278">
        <f t="shared" si="11"/>
        <v>93082.808200000014</v>
      </c>
      <c r="I15" s="278">
        <f t="shared" si="11"/>
        <v>93082.808200000014</v>
      </c>
      <c r="J15" s="278">
        <f t="shared" si="11"/>
        <v>93082.808200000014</v>
      </c>
      <c r="K15" s="278">
        <f t="shared" si="11"/>
        <v>93082.808200000014</v>
      </c>
      <c r="L15" s="463">
        <f t="shared" si="11"/>
        <v>93082.808200000014</v>
      </c>
      <c r="M15" s="278">
        <f t="shared" si="11"/>
        <v>741930.68236000021</v>
      </c>
      <c r="N15" s="278">
        <f t="shared" si="11"/>
        <v>850071.99472000019</v>
      </c>
      <c r="O15" s="278">
        <f t="shared" si="11"/>
        <v>850071.99472000019</v>
      </c>
      <c r="P15" s="468">
        <f t="shared" si="11"/>
        <v>558510.72195000004</v>
      </c>
      <c r="Q15" s="278">
        <f t="shared" si="11"/>
        <v>558510.72195000004</v>
      </c>
      <c r="R15" s="278">
        <f t="shared" si="11"/>
        <v>558510.72195000004</v>
      </c>
      <c r="S15" s="278">
        <f t="shared" si="11"/>
        <v>558510.72195000004</v>
      </c>
      <c r="T15" s="278">
        <f t="shared" si="11"/>
        <v>6432.988571428572</v>
      </c>
      <c r="U15" s="278">
        <f t="shared" si="11"/>
        <v>6432.988571428572</v>
      </c>
      <c r="V15" s="278">
        <f t="shared" si="11"/>
        <v>6432.988571428572</v>
      </c>
      <c r="W15" s="278">
        <f t="shared" si="11"/>
        <v>6432.988571428572</v>
      </c>
      <c r="X15" s="278">
        <f t="shared" si="11"/>
        <v>6432.988571428572</v>
      </c>
      <c r="Y15" s="278">
        <f t="shared" si="11"/>
        <v>6432.988571428572</v>
      </c>
      <c r="Z15" s="278">
        <f t="shared" si="11"/>
        <v>6432.988571428572</v>
      </c>
      <c r="AA15" s="278">
        <f t="shared" si="11"/>
        <v>0</v>
      </c>
      <c r="AB15" s="278">
        <f t="shared" si="11"/>
        <v>0</v>
      </c>
      <c r="AC15" s="278">
        <f t="shared" si="11"/>
        <v>0</v>
      </c>
      <c r="AD15" s="278">
        <f t="shared" si="11"/>
        <v>0</v>
      </c>
      <c r="AE15" s="278">
        <f t="shared" si="11"/>
        <v>0</v>
      </c>
      <c r="AF15" s="278">
        <f t="shared" si="11"/>
        <v>0</v>
      </c>
      <c r="AG15" s="278">
        <f t="shared" si="11"/>
        <v>0</v>
      </c>
      <c r="AH15" s="278">
        <f t="shared" si="11"/>
        <v>0</v>
      </c>
      <c r="AI15" s="278">
        <f t="shared" si="11"/>
        <v>0</v>
      </c>
    </row>
    <row r="16" spans="1:36" x14ac:dyDescent="0.25">
      <c r="B16" s="349" t="s">
        <v>302</v>
      </c>
      <c r="C16" s="274"/>
      <c r="D16" s="275">
        <f t="shared" si="9"/>
        <v>2010377.566600001</v>
      </c>
      <c r="E16" s="272"/>
      <c r="F16" s="276">
        <f>2%*F6</f>
        <v>19480.525240000003</v>
      </c>
      <c r="G16" s="276">
        <f t="shared" ref="G16:AI17" si="12">2%*G6</f>
        <v>19480.525240000003</v>
      </c>
      <c r="H16" s="276">
        <f t="shared" si="12"/>
        <v>19480.525240000003</v>
      </c>
      <c r="I16" s="276">
        <f t="shared" si="12"/>
        <v>19480.525240000003</v>
      </c>
      <c r="J16" s="276">
        <f t="shared" si="12"/>
        <v>19480.525240000003</v>
      </c>
      <c r="K16" s="276">
        <f t="shared" si="12"/>
        <v>19480.525240000003</v>
      </c>
      <c r="L16" s="462">
        <f t="shared" si="12"/>
        <v>19480.525240000003</v>
      </c>
      <c r="M16" s="276">
        <f t="shared" si="12"/>
        <v>463778.38468000013</v>
      </c>
      <c r="N16" s="276">
        <f t="shared" si="12"/>
        <v>537828.02792000014</v>
      </c>
      <c r="O16" s="276">
        <f t="shared" si="12"/>
        <v>537828.02792000014</v>
      </c>
      <c r="P16" s="467">
        <f t="shared" si="12"/>
        <v>83644.86235000001</v>
      </c>
      <c r="Q16" s="276">
        <f t="shared" si="12"/>
        <v>83644.86235000001</v>
      </c>
      <c r="R16" s="276">
        <f t="shared" si="12"/>
        <v>83644.86235000001</v>
      </c>
      <c r="S16" s="276">
        <f t="shared" si="12"/>
        <v>83644.86235000001</v>
      </c>
      <c r="T16" s="276">
        <f t="shared" si="12"/>
        <v>0</v>
      </c>
      <c r="U16" s="276">
        <f t="shared" si="12"/>
        <v>0</v>
      </c>
      <c r="V16" s="276">
        <f t="shared" si="12"/>
        <v>0</v>
      </c>
      <c r="W16" s="276">
        <f t="shared" si="12"/>
        <v>0</v>
      </c>
      <c r="X16" s="276">
        <f t="shared" si="12"/>
        <v>0</v>
      </c>
      <c r="Y16" s="276">
        <f t="shared" si="12"/>
        <v>0</v>
      </c>
      <c r="Z16" s="276">
        <f t="shared" si="12"/>
        <v>0</v>
      </c>
      <c r="AA16" s="276">
        <f t="shared" si="12"/>
        <v>0</v>
      </c>
      <c r="AB16" s="276">
        <f t="shared" si="12"/>
        <v>0</v>
      </c>
      <c r="AC16" s="276">
        <f t="shared" si="12"/>
        <v>0</v>
      </c>
      <c r="AD16" s="276">
        <f t="shared" si="12"/>
        <v>0</v>
      </c>
      <c r="AE16" s="276">
        <f t="shared" si="12"/>
        <v>0</v>
      </c>
      <c r="AF16" s="276">
        <f t="shared" si="12"/>
        <v>0</v>
      </c>
      <c r="AG16" s="276">
        <f t="shared" si="12"/>
        <v>0</v>
      </c>
      <c r="AH16" s="276">
        <f t="shared" si="12"/>
        <v>0</v>
      </c>
      <c r="AI16" s="276">
        <f t="shared" si="12"/>
        <v>0</v>
      </c>
    </row>
    <row r="17" spans="1:35" x14ac:dyDescent="0.25">
      <c r="B17" s="350" t="s">
        <v>321</v>
      </c>
      <c r="C17" s="274"/>
      <c r="D17" s="275">
        <f t="shared" si="9"/>
        <v>3362350.570400001</v>
      </c>
      <c r="E17" s="272"/>
      <c r="F17" s="276">
        <f>2%*F7</f>
        <v>73602.282960000011</v>
      </c>
      <c r="G17" s="276">
        <f t="shared" si="12"/>
        <v>73602.282960000011</v>
      </c>
      <c r="H17" s="276">
        <f t="shared" si="12"/>
        <v>73602.282960000011</v>
      </c>
      <c r="I17" s="276">
        <f t="shared" si="12"/>
        <v>73602.282960000011</v>
      </c>
      <c r="J17" s="276">
        <f t="shared" si="12"/>
        <v>73602.282960000011</v>
      </c>
      <c r="K17" s="276">
        <f t="shared" si="12"/>
        <v>73602.282960000011</v>
      </c>
      <c r="L17" s="462">
        <f t="shared" si="12"/>
        <v>73602.282960000011</v>
      </c>
      <c r="M17" s="276">
        <f t="shared" si="12"/>
        <v>278152.29768000002</v>
      </c>
      <c r="N17" s="276">
        <f t="shared" si="12"/>
        <v>312243.96680000005</v>
      </c>
      <c r="O17" s="276">
        <f t="shared" si="12"/>
        <v>312243.96680000005</v>
      </c>
      <c r="P17" s="467">
        <f t="shared" si="12"/>
        <v>474865.85960000003</v>
      </c>
      <c r="Q17" s="276">
        <f t="shared" si="12"/>
        <v>474865.85960000003</v>
      </c>
      <c r="R17" s="276">
        <f t="shared" si="12"/>
        <v>474865.85960000003</v>
      </c>
      <c r="S17" s="276">
        <f t="shared" si="12"/>
        <v>474865.85960000003</v>
      </c>
      <c r="T17" s="276">
        <f t="shared" si="12"/>
        <v>6432.988571428572</v>
      </c>
      <c r="U17" s="276">
        <f t="shared" si="12"/>
        <v>6432.988571428572</v>
      </c>
      <c r="V17" s="276">
        <f t="shared" si="12"/>
        <v>6432.988571428572</v>
      </c>
      <c r="W17" s="276">
        <f t="shared" si="12"/>
        <v>6432.988571428572</v>
      </c>
      <c r="X17" s="276">
        <f t="shared" si="12"/>
        <v>6432.988571428572</v>
      </c>
      <c r="Y17" s="276">
        <f t="shared" si="12"/>
        <v>6432.988571428572</v>
      </c>
      <c r="Z17" s="276">
        <f t="shared" si="12"/>
        <v>6432.988571428572</v>
      </c>
      <c r="AA17" s="276">
        <f t="shared" si="12"/>
        <v>0</v>
      </c>
      <c r="AB17" s="276">
        <f t="shared" si="12"/>
        <v>0</v>
      </c>
      <c r="AC17" s="276">
        <f t="shared" si="12"/>
        <v>0</v>
      </c>
      <c r="AD17" s="276">
        <f t="shared" si="12"/>
        <v>0</v>
      </c>
      <c r="AE17" s="276">
        <f t="shared" si="12"/>
        <v>0</v>
      </c>
      <c r="AF17" s="276">
        <f t="shared" si="12"/>
        <v>0</v>
      </c>
      <c r="AG17" s="276">
        <f t="shared" si="12"/>
        <v>0</v>
      </c>
      <c r="AH17" s="276">
        <f t="shared" si="12"/>
        <v>0</v>
      </c>
      <c r="AI17" s="276">
        <f t="shared" si="12"/>
        <v>0</v>
      </c>
    </row>
    <row r="18" spans="1:35" x14ac:dyDescent="0.25">
      <c r="A18" s="172">
        <v>2.5</v>
      </c>
      <c r="B18" s="353" t="s">
        <v>351</v>
      </c>
      <c r="C18" s="274"/>
      <c r="D18" s="277">
        <f t="shared" si="9"/>
        <v>6748075.1141071413</v>
      </c>
      <c r="E18" s="272"/>
      <c r="F18" s="278">
        <f t="shared" ref="F18:AI18" si="13">SUM(F19:F20)</f>
        <v>116353.51025000002</v>
      </c>
      <c r="G18" s="278">
        <f t="shared" si="13"/>
        <v>116353.51025000002</v>
      </c>
      <c r="H18" s="278">
        <f t="shared" si="13"/>
        <v>116353.51025000002</v>
      </c>
      <c r="I18" s="278">
        <f t="shared" si="13"/>
        <v>116353.51025000002</v>
      </c>
      <c r="J18" s="278">
        <f t="shared" si="13"/>
        <v>116353.51025000002</v>
      </c>
      <c r="K18" s="278">
        <f t="shared" si="13"/>
        <v>116353.51025000002</v>
      </c>
      <c r="L18" s="463">
        <f t="shared" si="13"/>
        <v>116353.51025000002</v>
      </c>
      <c r="M18" s="278">
        <f t="shared" si="13"/>
        <v>927413.3529500002</v>
      </c>
      <c r="N18" s="278">
        <f t="shared" si="13"/>
        <v>1062589.9934000003</v>
      </c>
      <c r="O18" s="278">
        <f t="shared" si="13"/>
        <v>1062589.9934000003</v>
      </c>
      <c r="P18" s="468">
        <f t="shared" si="13"/>
        <v>698138.40243749996</v>
      </c>
      <c r="Q18" s="278">
        <f t="shared" si="13"/>
        <v>698138.40243749996</v>
      </c>
      <c r="R18" s="278">
        <f t="shared" si="13"/>
        <v>698138.40243749996</v>
      </c>
      <c r="S18" s="278">
        <f t="shared" si="13"/>
        <v>698138.40243749996</v>
      </c>
      <c r="T18" s="278">
        <f t="shared" si="13"/>
        <v>8041.2357142857145</v>
      </c>
      <c r="U18" s="278">
        <f t="shared" si="13"/>
        <v>8041.2357142857145</v>
      </c>
      <c r="V18" s="278">
        <f t="shared" si="13"/>
        <v>8041.2357142857145</v>
      </c>
      <c r="W18" s="278">
        <f t="shared" si="13"/>
        <v>16082.471428571429</v>
      </c>
      <c r="X18" s="278">
        <f t="shared" si="13"/>
        <v>16082.471428571429</v>
      </c>
      <c r="Y18" s="278">
        <f t="shared" si="13"/>
        <v>16082.471428571429</v>
      </c>
      <c r="Z18" s="278">
        <f t="shared" si="13"/>
        <v>16082.471428571429</v>
      </c>
      <c r="AA18" s="278">
        <f t="shared" si="13"/>
        <v>0</v>
      </c>
      <c r="AB18" s="278">
        <f t="shared" si="13"/>
        <v>0</v>
      </c>
      <c r="AC18" s="278">
        <f t="shared" si="13"/>
        <v>0</v>
      </c>
      <c r="AD18" s="278">
        <f t="shared" si="13"/>
        <v>0</v>
      </c>
      <c r="AE18" s="278">
        <f t="shared" si="13"/>
        <v>0</v>
      </c>
      <c r="AF18" s="278">
        <f t="shared" si="13"/>
        <v>0</v>
      </c>
      <c r="AG18" s="278">
        <f t="shared" si="13"/>
        <v>0</v>
      </c>
      <c r="AH18" s="278">
        <f t="shared" si="13"/>
        <v>0</v>
      </c>
      <c r="AI18" s="278">
        <f t="shared" si="13"/>
        <v>0</v>
      </c>
    </row>
    <row r="19" spans="1:35" x14ac:dyDescent="0.25">
      <c r="B19" s="349" t="s">
        <v>302</v>
      </c>
      <c r="C19" s="274"/>
      <c r="D19" s="275">
        <f t="shared" si="9"/>
        <v>2512971.9582500011</v>
      </c>
      <c r="E19" s="272"/>
      <c r="F19" s="348">
        <f>2.5%*F6</f>
        <v>24350.656550000003</v>
      </c>
      <c r="G19" s="348">
        <f t="shared" ref="G19:V20" si="14">2.5%*G6</f>
        <v>24350.656550000003</v>
      </c>
      <c r="H19" s="348">
        <f t="shared" si="14"/>
        <v>24350.656550000003</v>
      </c>
      <c r="I19" s="348">
        <f t="shared" si="14"/>
        <v>24350.656550000003</v>
      </c>
      <c r="J19" s="348">
        <f t="shared" si="14"/>
        <v>24350.656550000003</v>
      </c>
      <c r="K19" s="348">
        <f t="shared" si="14"/>
        <v>24350.656550000003</v>
      </c>
      <c r="L19" s="464">
        <f t="shared" si="14"/>
        <v>24350.656550000003</v>
      </c>
      <c r="M19" s="348">
        <f t="shared" si="14"/>
        <v>579722.98085000017</v>
      </c>
      <c r="N19" s="348">
        <f t="shared" si="14"/>
        <v>672285.0349000002</v>
      </c>
      <c r="O19" s="348">
        <f t="shared" si="14"/>
        <v>672285.0349000002</v>
      </c>
      <c r="P19" s="469">
        <f t="shared" si="14"/>
        <v>104556.07793750001</v>
      </c>
      <c r="Q19" s="348">
        <f t="shared" si="14"/>
        <v>104556.07793750001</v>
      </c>
      <c r="R19" s="348">
        <f t="shared" si="14"/>
        <v>104556.07793750001</v>
      </c>
      <c r="S19" s="348">
        <f t="shared" si="14"/>
        <v>104556.07793750001</v>
      </c>
      <c r="T19" s="348">
        <f t="shared" si="14"/>
        <v>0</v>
      </c>
      <c r="U19" s="348">
        <f t="shared" si="14"/>
        <v>0</v>
      </c>
      <c r="V19" s="348">
        <f t="shared" si="14"/>
        <v>0</v>
      </c>
      <c r="W19" s="276">
        <f t="shared" ref="W19:AI20" si="15">5%*W6</f>
        <v>0</v>
      </c>
      <c r="X19" s="276">
        <f t="shared" si="15"/>
        <v>0</v>
      </c>
      <c r="Y19" s="276">
        <f t="shared" si="15"/>
        <v>0</v>
      </c>
      <c r="Z19" s="276">
        <f t="shared" si="15"/>
        <v>0</v>
      </c>
      <c r="AA19" s="276">
        <f t="shared" si="15"/>
        <v>0</v>
      </c>
      <c r="AB19" s="276">
        <f t="shared" si="15"/>
        <v>0</v>
      </c>
      <c r="AC19" s="276">
        <f t="shared" si="15"/>
        <v>0</v>
      </c>
      <c r="AD19" s="276">
        <f t="shared" si="15"/>
        <v>0</v>
      </c>
      <c r="AE19" s="276">
        <f t="shared" si="15"/>
        <v>0</v>
      </c>
      <c r="AF19" s="276">
        <f t="shared" si="15"/>
        <v>0</v>
      </c>
      <c r="AG19" s="276">
        <f t="shared" si="15"/>
        <v>0</v>
      </c>
      <c r="AH19" s="276">
        <f t="shared" si="15"/>
        <v>0</v>
      </c>
      <c r="AI19" s="276">
        <f t="shared" si="15"/>
        <v>0</v>
      </c>
    </row>
    <row r="20" spans="1:35" x14ac:dyDescent="0.25">
      <c r="B20" s="350" t="s">
        <v>321</v>
      </c>
      <c r="C20" s="274"/>
      <c r="D20" s="275">
        <f t="shared" si="9"/>
        <v>4235103.155857143</v>
      </c>
      <c r="E20" s="272"/>
      <c r="F20" s="348">
        <f>2.5%*F7</f>
        <v>92002.853700000021</v>
      </c>
      <c r="G20" s="348">
        <f t="shared" si="14"/>
        <v>92002.853700000021</v>
      </c>
      <c r="H20" s="348">
        <f t="shared" si="14"/>
        <v>92002.853700000021</v>
      </c>
      <c r="I20" s="348">
        <f t="shared" si="14"/>
        <v>92002.853700000021</v>
      </c>
      <c r="J20" s="348">
        <f t="shared" si="14"/>
        <v>92002.853700000021</v>
      </c>
      <c r="K20" s="348">
        <f t="shared" si="14"/>
        <v>92002.853700000021</v>
      </c>
      <c r="L20" s="464">
        <f t="shared" si="14"/>
        <v>92002.853700000021</v>
      </c>
      <c r="M20" s="348">
        <f t="shared" si="14"/>
        <v>347690.37210000004</v>
      </c>
      <c r="N20" s="348">
        <f t="shared" si="14"/>
        <v>390304.95850000007</v>
      </c>
      <c r="O20" s="348">
        <f t="shared" si="14"/>
        <v>390304.95850000007</v>
      </c>
      <c r="P20" s="469">
        <f t="shared" si="14"/>
        <v>593582.32449999999</v>
      </c>
      <c r="Q20" s="348">
        <f t="shared" si="14"/>
        <v>593582.32449999999</v>
      </c>
      <c r="R20" s="348">
        <f t="shared" si="14"/>
        <v>593582.32449999999</v>
      </c>
      <c r="S20" s="348">
        <f t="shared" si="14"/>
        <v>593582.32449999999</v>
      </c>
      <c r="T20" s="348">
        <f t="shared" si="14"/>
        <v>8041.2357142857145</v>
      </c>
      <c r="U20" s="348">
        <f t="shared" si="14"/>
        <v>8041.2357142857145</v>
      </c>
      <c r="V20" s="348">
        <f t="shared" si="14"/>
        <v>8041.2357142857145</v>
      </c>
      <c r="W20" s="276">
        <f t="shared" si="15"/>
        <v>16082.471428571429</v>
      </c>
      <c r="X20" s="276">
        <f t="shared" si="15"/>
        <v>16082.471428571429</v>
      </c>
      <c r="Y20" s="276">
        <f t="shared" si="15"/>
        <v>16082.471428571429</v>
      </c>
      <c r="Z20" s="276">
        <f t="shared" si="15"/>
        <v>16082.471428571429</v>
      </c>
      <c r="AA20" s="276">
        <f t="shared" si="15"/>
        <v>0</v>
      </c>
      <c r="AB20" s="276">
        <f t="shared" si="15"/>
        <v>0</v>
      </c>
      <c r="AC20" s="276">
        <f t="shared" si="15"/>
        <v>0</v>
      </c>
      <c r="AD20" s="276">
        <f t="shared" si="15"/>
        <v>0</v>
      </c>
      <c r="AE20" s="276">
        <f t="shared" si="15"/>
        <v>0</v>
      </c>
      <c r="AF20" s="276">
        <f t="shared" si="15"/>
        <v>0</v>
      </c>
      <c r="AG20" s="276">
        <f t="shared" si="15"/>
        <v>0</v>
      </c>
      <c r="AH20" s="276">
        <f t="shared" si="15"/>
        <v>0</v>
      </c>
      <c r="AI20" s="276">
        <f t="shared" si="15"/>
        <v>0</v>
      </c>
    </row>
    <row r="21" spans="1:35" x14ac:dyDescent="0.25">
      <c r="A21" s="172">
        <v>1</v>
      </c>
      <c r="B21" s="552" t="s">
        <v>636</v>
      </c>
      <c r="C21" s="274"/>
      <c r="D21" s="275">
        <f>D22+D23</f>
        <v>2686364.068500001</v>
      </c>
      <c r="E21" s="272"/>
      <c r="F21" s="348">
        <f>F22+F23</f>
        <v>46541.404100000007</v>
      </c>
      <c r="G21" s="348">
        <f>G22+G23</f>
        <v>46541.404100000007</v>
      </c>
      <c r="H21" s="348">
        <f>H22+H23</f>
        <v>46541.404100000007</v>
      </c>
      <c r="I21" s="348">
        <f t="shared" ref="I21:AI21" si="16">I22+I23</f>
        <v>46541.404100000007</v>
      </c>
      <c r="J21" s="348">
        <f>J22+J23</f>
        <v>46541.404100000007</v>
      </c>
      <c r="K21" s="348">
        <f t="shared" si="16"/>
        <v>46541.404100000007</v>
      </c>
      <c r="L21" s="348">
        <f t="shared" si="16"/>
        <v>46541.404100000007</v>
      </c>
      <c r="M21" s="348">
        <f t="shared" si="16"/>
        <v>370965.3411800001</v>
      </c>
      <c r="N21" s="348">
        <f t="shared" si="16"/>
        <v>425035.9973600001</v>
      </c>
      <c r="O21" s="348">
        <f t="shared" si="16"/>
        <v>425035.9973600001</v>
      </c>
      <c r="P21" s="348">
        <f t="shared" si="16"/>
        <v>279255.36097500002</v>
      </c>
      <c r="Q21" s="348">
        <f t="shared" si="16"/>
        <v>279255.36097500002</v>
      </c>
      <c r="R21" s="348">
        <f t="shared" si="16"/>
        <v>279255.36097500002</v>
      </c>
      <c r="S21" s="348">
        <f t="shared" si="16"/>
        <v>279255.36097500002</v>
      </c>
      <c r="T21" s="348">
        <f t="shared" si="16"/>
        <v>3216.494285714286</v>
      </c>
      <c r="U21" s="348">
        <f t="shared" si="16"/>
        <v>3216.494285714286</v>
      </c>
      <c r="V21" s="348">
        <f t="shared" si="16"/>
        <v>3216.494285714286</v>
      </c>
      <c r="W21" s="348">
        <f t="shared" si="16"/>
        <v>3216.494285714286</v>
      </c>
      <c r="X21" s="348">
        <f t="shared" si="16"/>
        <v>3216.494285714286</v>
      </c>
      <c r="Y21" s="348">
        <f t="shared" si="16"/>
        <v>3216.494285714286</v>
      </c>
      <c r="Z21" s="348">
        <f t="shared" si="16"/>
        <v>3216.494285714286</v>
      </c>
      <c r="AA21" s="348">
        <f t="shared" si="16"/>
        <v>0</v>
      </c>
      <c r="AB21" s="348">
        <f t="shared" si="16"/>
        <v>0</v>
      </c>
      <c r="AC21" s="348">
        <f t="shared" si="16"/>
        <v>0</v>
      </c>
      <c r="AD21" s="348">
        <f t="shared" si="16"/>
        <v>0</v>
      </c>
      <c r="AE21" s="348">
        <f t="shared" si="16"/>
        <v>0</v>
      </c>
      <c r="AF21" s="348">
        <f t="shared" si="16"/>
        <v>0</v>
      </c>
      <c r="AG21" s="348">
        <f t="shared" si="16"/>
        <v>0</v>
      </c>
      <c r="AH21" s="348">
        <f t="shared" si="16"/>
        <v>0</v>
      </c>
      <c r="AI21" s="348">
        <f t="shared" si="16"/>
        <v>0</v>
      </c>
    </row>
    <row r="22" spans="1:35" x14ac:dyDescent="0.25">
      <c r="B22" s="349" t="s">
        <v>302</v>
      </c>
      <c r="C22" s="274"/>
      <c r="D22" s="275">
        <f>SUM(F22:Z22)</f>
        <v>1005188.7833000005</v>
      </c>
      <c r="E22" s="272"/>
      <c r="F22" s="348">
        <f>1%*F6</f>
        <v>9740.2626200000013</v>
      </c>
      <c r="G22" s="348">
        <f t="shared" ref="G22:G23" si="17">1%*G6</f>
        <v>9740.2626200000013</v>
      </c>
      <c r="H22" s="348">
        <f>1%*H6</f>
        <v>9740.2626200000013</v>
      </c>
      <c r="I22" s="348">
        <f t="shared" ref="I22:AI23" si="18">1%*I6</f>
        <v>9740.2626200000013</v>
      </c>
      <c r="J22" s="348">
        <f t="shared" si="18"/>
        <v>9740.2626200000013</v>
      </c>
      <c r="K22" s="348">
        <f t="shared" si="18"/>
        <v>9740.2626200000013</v>
      </c>
      <c r="L22" s="348">
        <f t="shared" si="18"/>
        <v>9740.2626200000013</v>
      </c>
      <c r="M22" s="348">
        <f t="shared" si="18"/>
        <v>231889.19234000007</v>
      </c>
      <c r="N22" s="348">
        <f t="shared" si="18"/>
        <v>268914.01396000007</v>
      </c>
      <c r="O22" s="348">
        <f t="shared" si="18"/>
        <v>268914.01396000007</v>
      </c>
      <c r="P22" s="348">
        <f t="shared" si="18"/>
        <v>41822.431175000005</v>
      </c>
      <c r="Q22" s="348">
        <f t="shared" si="18"/>
        <v>41822.431175000005</v>
      </c>
      <c r="R22" s="348">
        <f t="shared" si="18"/>
        <v>41822.431175000005</v>
      </c>
      <c r="S22" s="348">
        <f t="shared" si="18"/>
        <v>41822.431175000005</v>
      </c>
      <c r="T22" s="348">
        <f t="shared" si="18"/>
        <v>0</v>
      </c>
      <c r="U22" s="348">
        <f t="shared" si="18"/>
        <v>0</v>
      </c>
      <c r="V22" s="348">
        <f t="shared" si="18"/>
        <v>0</v>
      </c>
      <c r="W22" s="348">
        <f t="shared" si="18"/>
        <v>0</v>
      </c>
      <c r="X22" s="348">
        <f t="shared" si="18"/>
        <v>0</v>
      </c>
      <c r="Y22" s="348">
        <f t="shared" si="18"/>
        <v>0</v>
      </c>
      <c r="Z22" s="348">
        <f t="shared" si="18"/>
        <v>0</v>
      </c>
      <c r="AA22" s="348">
        <f t="shared" si="18"/>
        <v>0</v>
      </c>
      <c r="AB22" s="348">
        <f t="shared" si="18"/>
        <v>0</v>
      </c>
      <c r="AC22" s="348">
        <f t="shared" si="18"/>
        <v>0</v>
      </c>
      <c r="AD22" s="348">
        <f t="shared" si="18"/>
        <v>0</v>
      </c>
      <c r="AE22" s="348">
        <f t="shared" si="18"/>
        <v>0</v>
      </c>
      <c r="AF22" s="348">
        <f t="shared" si="18"/>
        <v>0</v>
      </c>
      <c r="AG22" s="348">
        <f t="shared" si="18"/>
        <v>0</v>
      </c>
      <c r="AH22" s="348">
        <f t="shared" si="18"/>
        <v>0</v>
      </c>
      <c r="AI22" s="348">
        <f t="shared" si="18"/>
        <v>0</v>
      </c>
    </row>
    <row r="23" spans="1:35" x14ac:dyDescent="0.25">
      <c r="B23" s="350" t="s">
        <v>321</v>
      </c>
      <c r="C23" s="274"/>
      <c r="D23" s="275">
        <f>SUM(F23:Z23)</f>
        <v>1681175.2852000005</v>
      </c>
      <c r="E23" s="272"/>
      <c r="F23" s="348">
        <f>1%*F7</f>
        <v>36801.141480000006</v>
      </c>
      <c r="G23" s="348">
        <f t="shared" si="17"/>
        <v>36801.141480000006</v>
      </c>
      <c r="H23" s="348">
        <f>1%*H7</f>
        <v>36801.141480000006</v>
      </c>
      <c r="I23" s="348">
        <f t="shared" si="18"/>
        <v>36801.141480000006</v>
      </c>
      <c r="J23" s="348">
        <f t="shared" si="18"/>
        <v>36801.141480000006</v>
      </c>
      <c r="K23" s="348">
        <f t="shared" si="18"/>
        <v>36801.141480000006</v>
      </c>
      <c r="L23" s="348">
        <f t="shared" si="18"/>
        <v>36801.141480000006</v>
      </c>
      <c r="M23" s="348">
        <f t="shared" si="18"/>
        <v>139076.14884000001</v>
      </c>
      <c r="N23" s="348">
        <f t="shared" si="18"/>
        <v>156121.98340000003</v>
      </c>
      <c r="O23" s="348">
        <f t="shared" si="18"/>
        <v>156121.98340000003</v>
      </c>
      <c r="P23" s="348">
        <f t="shared" si="18"/>
        <v>237432.92980000001</v>
      </c>
      <c r="Q23" s="348">
        <f t="shared" si="18"/>
        <v>237432.92980000001</v>
      </c>
      <c r="R23" s="348">
        <f t="shared" si="18"/>
        <v>237432.92980000001</v>
      </c>
      <c r="S23" s="348">
        <f t="shared" si="18"/>
        <v>237432.92980000001</v>
      </c>
      <c r="T23" s="348">
        <f t="shared" si="18"/>
        <v>3216.494285714286</v>
      </c>
      <c r="U23" s="348">
        <f t="shared" si="18"/>
        <v>3216.494285714286</v>
      </c>
      <c r="V23" s="348">
        <f t="shared" si="18"/>
        <v>3216.494285714286</v>
      </c>
      <c r="W23" s="348">
        <f t="shared" si="18"/>
        <v>3216.494285714286</v>
      </c>
      <c r="X23" s="348">
        <f t="shared" si="18"/>
        <v>3216.494285714286</v>
      </c>
      <c r="Y23" s="348">
        <f t="shared" si="18"/>
        <v>3216.494285714286</v>
      </c>
      <c r="Z23" s="348">
        <f t="shared" si="18"/>
        <v>3216.494285714286</v>
      </c>
      <c r="AA23" s="348">
        <f t="shared" si="18"/>
        <v>0</v>
      </c>
      <c r="AB23" s="348">
        <f t="shared" si="18"/>
        <v>0</v>
      </c>
      <c r="AC23" s="348">
        <f t="shared" si="18"/>
        <v>0</v>
      </c>
      <c r="AD23" s="348">
        <f t="shared" si="18"/>
        <v>0</v>
      </c>
      <c r="AE23" s="348">
        <f t="shared" si="18"/>
        <v>0</v>
      </c>
      <c r="AF23" s="348">
        <f t="shared" si="18"/>
        <v>0</v>
      </c>
      <c r="AG23" s="348">
        <f t="shared" si="18"/>
        <v>0</v>
      </c>
      <c r="AH23" s="348">
        <f t="shared" si="18"/>
        <v>0</v>
      </c>
      <c r="AI23" s="348">
        <f t="shared" si="18"/>
        <v>0</v>
      </c>
    </row>
    <row r="24" spans="1:35" x14ac:dyDescent="0.25">
      <c r="A24" s="172">
        <v>0.6</v>
      </c>
      <c r="B24" s="352" t="s">
        <v>352</v>
      </c>
      <c r="C24" s="274"/>
      <c r="D24" s="277">
        <f t="shared" si="9"/>
        <v>1629830.8090999997</v>
      </c>
      <c r="E24" s="272"/>
      <c r="F24" s="278">
        <f t="shared" ref="F24" si="19">SUM(F25:F26)</f>
        <v>27924.842460000003</v>
      </c>
      <c r="G24" s="278">
        <f t="shared" ref="G24:AI24" si="20">SUM(G25:G26)</f>
        <v>27924.842460000003</v>
      </c>
      <c r="H24" s="278">
        <f t="shared" si="20"/>
        <v>27924.842460000003</v>
      </c>
      <c r="I24" s="278">
        <f t="shared" si="20"/>
        <v>27924.842460000003</v>
      </c>
      <c r="J24" s="278">
        <f t="shared" si="20"/>
        <v>27924.842460000003</v>
      </c>
      <c r="K24" s="278">
        <f t="shared" si="20"/>
        <v>27924.842460000003</v>
      </c>
      <c r="L24" s="463">
        <f t="shared" si="20"/>
        <v>27924.842460000003</v>
      </c>
      <c r="M24" s="278">
        <f t="shared" si="20"/>
        <v>222579.20470800006</v>
      </c>
      <c r="N24" s="278">
        <f t="shared" si="20"/>
        <v>255021.59841600005</v>
      </c>
      <c r="O24" s="278">
        <f t="shared" si="20"/>
        <v>255021.59841600005</v>
      </c>
      <c r="P24" s="468">
        <f t="shared" si="20"/>
        <v>167553.21658500002</v>
      </c>
      <c r="Q24" s="278">
        <f t="shared" si="20"/>
        <v>167553.21658500002</v>
      </c>
      <c r="R24" s="278">
        <f t="shared" si="20"/>
        <v>167553.21658500002</v>
      </c>
      <c r="S24" s="278">
        <f t="shared" si="20"/>
        <v>167553.21658500002</v>
      </c>
      <c r="T24" s="278">
        <f t="shared" si="20"/>
        <v>1929.8965714285714</v>
      </c>
      <c r="U24" s="278">
        <f t="shared" si="20"/>
        <v>1929.8965714285714</v>
      </c>
      <c r="V24" s="278">
        <f t="shared" si="20"/>
        <v>1929.8965714285714</v>
      </c>
      <c r="W24" s="278">
        <f t="shared" si="20"/>
        <v>6432.988571428572</v>
      </c>
      <c r="X24" s="278">
        <f t="shared" si="20"/>
        <v>6432.988571428572</v>
      </c>
      <c r="Y24" s="278">
        <f t="shared" si="20"/>
        <v>6432.988571428572</v>
      </c>
      <c r="Z24" s="278">
        <f t="shared" si="20"/>
        <v>6432.988571428572</v>
      </c>
      <c r="AA24" s="278">
        <f t="shared" si="20"/>
        <v>0</v>
      </c>
      <c r="AB24" s="278">
        <f t="shared" si="20"/>
        <v>0</v>
      </c>
      <c r="AC24" s="278">
        <f t="shared" si="20"/>
        <v>0</v>
      </c>
      <c r="AD24" s="278">
        <f t="shared" si="20"/>
        <v>0</v>
      </c>
      <c r="AE24" s="278">
        <f t="shared" si="20"/>
        <v>0</v>
      </c>
      <c r="AF24" s="278">
        <f t="shared" si="20"/>
        <v>0</v>
      </c>
      <c r="AG24" s="278">
        <f t="shared" si="20"/>
        <v>0</v>
      </c>
      <c r="AH24" s="278">
        <f t="shared" si="20"/>
        <v>0</v>
      </c>
      <c r="AI24" s="278">
        <f t="shared" si="20"/>
        <v>0</v>
      </c>
    </row>
    <row r="25" spans="1:35" x14ac:dyDescent="0.25">
      <c r="B25" s="349" t="s">
        <v>302</v>
      </c>
      <c r="C25" s="274"/>
      <c r="D25" s="275">
        <f t="shared" si="9"/>
        <v>603113.2699800001</v>
      </c>
      <c r="E25" s="272"/>
      <c r="F25" s="276">
        <f>F6*0.6%</f>
        <v>5844.157572000001</v>
      </c>
      <c r="G25" s="276">
        <f t="shared" ref="G25:V26" si="21">G6*0.6%</f>
        <v>5844.157572000001</v>
      </c>
      <c r="H25" s="276">
        <f t="shared" si="21"/>
        <v>5844.157572000001</v>
      </c>
      <c r="I25" s="276">
        <f t="shared" si="21"/>
        <v>5844.157572000001</v>
      </c>
      <c r="J25" s="276">
        <f t="shared" si="21"/>
        <v>5844.157572000001</v>
      </c>
      <c r="K25" s="276">
        <f t="shared" si="21"/>
        <v>5844.157572000001</v>
      </c>
      <c r="L25" s="462">
        <f t="shared" si="21"/>
        <v>5844.157572000001</v>
      </c>
      <c r="M25" s="276">
        <f t="shared" si="21"/>
        <v>139133.51540400003</v>
      </c>
      <c r="N25" s="276">
        <f t="shared" si="21"/>
        <v>161348.40837600004</v>
      </c>
      <c r="O25" s="276">
        <f t="shared" si="21"/>
        <v>161348.40837600004</v>
      </c>
      <c r="P25" s="467">
        <f t="shared" si="21"/>
        <v>25093.458705000001</v>
      </c>
      <c r="Q25" s="276">
        <f t="shared" si="21"/>
        <v>25093.458705000001</v>
      </c>
      <c r="R25" s="276">
        <f t="shared" si="21"/>
        <v>25093.458705000001</v>
      </c>
      <c r="S25" s="276">
        <f t="shared" si="21"/>
        <v>25093.458705000001</v>
      </c>
      <c r="T25" s="276">
        <f t="shared" si="21"/>
        <v>0</v>
      </c>
      <c r="U25" s="276">
        <f t="shared" si="21"/>
        <v>0</v>
      </c>
      <c r="V25" s="276">
        <f t="shared" si="21"/>
        <v>0</v>
      </c>
      <c r="W25" s="276">
        <f t="shared" ref="W25:AI26" si="22">W6*2%</f>
        <v>0</v>
      </c>
      <c r="X25" s="276">
        <f t="shared" si="22"/>
        <v>0</v>
      </c>
      <c r="Y25" s="276">
        <f t="shared" si="22"/>
        <v>0</v>
      </c>
      <c r="Z25" s="276">
        <f t="shared" si="22"/>
        <v>0</v>
      </c>
      <c r="AA25" s="276">
        <f t="shared" si="22"/>
        <v>0</v>
      </c>
      <c r="AB25" s="276">
        <f t="shared" si="22"/>
        <v>0</v>
      </c>
      <c r="AC25" s="276">
        <f t="shared" si="22"/>
        <v>0</v>
      </c>
      <c r="AD25" s="276">
        <f t="shared" si="22"/>
        <v>0</v>
      </c>
      <c r="AE25" s="276">
        <f t="shared" si="22"/>
        <v>0</v>
      </c>
      <c r="AF25" s="276">
        <f t="shared" si="22"/>
        <v>0</v>
      </c>
      <c r="AG25" s="276">
        <f t="shared" si="22"/>
        <v>0</v>
      </c>
      <c r="AH25" s="276">
        <f t="shared" si="22"/>
        <v>0</v>
      </c>
      <c r="AI25" s="276">
        <f t="shared" si="22"/>
        <v>0</v>
      </c>
    </row>
    <row r="26" spans="1:35" x14ac:dyDescent="0.25">
      <c r="B26" s="350" t="s">
        <v>321</v>
      </c>
      <c r="C26" s="274"/>
      <c r="D26" s="275">
        <f t="shared" si="9"/>
        <v>1026717.5391200001</v>
      </c>
      <c r="E26" s="272"/>
      <c r="F26" s="276">
        <f>F7*0.6%</f>
        <v>22080.684888000003</v>
      </c>
      <c r="G26" s="276">
        <f t="shared" si="21"/>
        <v>22080.684888000003</v>
      </c>
      <c r="H26" s="276">
        <f t="shared" si="21"/>
        <v>22080.684888000003</v>
      </c>
      <c r="I26" s="276">
        <f t="shared" si="21"/>
        <v>22080.684888000003</v>
      </c>
      <c r="J26" s="276">
        <f t="shared" si="21"/>
        <v>22080.684888000003</v>
      </c>
      <c r="K26" s="276">
        <f t="shared" si="21"/>
        <v>22080.684888000003</v>
      </c>
      <c r="L26" s="462">
        <f t="shared" si="21"/>
        <v>22080.684888000003</v>
      </c>
      <c r="M26" s="276">
        <f t="shared" si="21"/>
        <v>83445.689304000014</v>
      </c>
      <c r="N26" s="276">
        <f t="shared" si="21"/>
        <v>93673.190040000016</v>
      </c>
      <c r="O26" s="276">
        <f t="shared" si="21"/>
        <v>93673.190040000016</v>
      </c>
      <c r="P26" s="467">
        <f t="shared" si="21"/>
        <v>142459.75788000002</v>
      </c>
      <c r="Q26" s="276">
        <f t="shared" si="21"/>
        <v>142459.75788000002</v>
      </c>
      <c r="R26" s="276">
        <f t="shared" si="21"/>
        <v>142459.75788000002</v>
      </c>
      <c r="S26" s="276">
        <f t="shared" si="21"/>
        <v>142459.75788000002</v>
      </c>
      <c r="T26" s="276">
        <f t="shared" si="21"/>
        <v>1929.8965714285714</v>
      </c>
      <c r="U26" s="276">
        <f t="shared" si="21"/>
        <v>1929.8965714285714</v>
      </c>
      <c r="V26" s="276">
        <f t="shared" si="21"/>
        <v>1929.8965714285714</v>
      </c>
      <c r="W26" s="276">
        <f t="shared" si="22"/>
        <v>6432.988571428572</v>
      </c>
      <c r="X26" s="276">
        <f t="shared" si="22"/>
        <v>6432.988571428572</v>
      </c>
      <c r="Y26" s="276">
        <f t="shared" si="22"/>
        <v>6432.988571428572</v>
      </c>
      <c r="Z26" s="276">
        <f t="shared" si="22"/>
        <v>6432.988571428572</v>
      </c>
      <c r="AA26" s="276">
        <f t="shared" si="22"/>
        <v>0</v>
      </c>
      <c r="AB26" s="276">
        <f t="shared" si="22"/>
        <v>0</v>
      </c>
      <c r="AC26" s="276">
        <f t="shared" si="22"/>
        <v>0</v>
      </c>
      <c r="AD26" s="276">
        <f t="shared" si="22"/>
        <v>0</v>
      </c>
      <c r="AE26" s="276">
        <f t="shared" si="22"/>
        <v>0</v>
      </c>
      <c r="AF26" s="276">
        <f t="shared" si="22"/>
        <v>0</v>
      </c>
      <c r="AG26" s="276">
        <f t="shared" si="22"/>
        <v>0</v>
      </c>
      <c r="AH26" s="276">
        <f t="shared" si="22"/>
        <v>0</v>
      </c>
      <c r="AI26" s="276">
        <f t="shared" si="22"/>
        <v>0</v>
      </c>
    </row>
    <row r="27" spans="1:35" x14ac:dyDescent="0.25">
      <c r="A27" s="172">
        <v>10</v>
      </c>
      <c r="B27" s="351" t="s">
        <v>353</v>
      </c>
      <c r="C27" s="274"/>
      <c r="D27" s="277">
        <f t="shared" si="9"/>
        <v>29007103.074799996</v>
      </c>
      <c r="E27" s="272"/>
      <c r="F27" s="278">
        <f t="shared" ref="F27" si="23">SUM(F28:F29)</f>
        <v>502647.16428000008</v>
      </c>
      <c r="G27" s="278">
        <f t="shared" ref="G27:AI27" si="24">SUM(G28:G29)</f>
        <v>502647.16428000008</v>
      </c>
      <c r="H27" s="278">
        <f t="shared" si="24"/>
        <v>502647.16428000008</v>
      </c>
      <c r="I27" s="278">
        <f t="shared" si="24"/>
        <v>502647.16428000008</v>
      </c>
      <c r="J27" s="278">
        <f t="shared" si="24"/>
        <v>502647.16428000008</v>
      </c>
      <c r="K27" s="278">
        <f t="shared" si="24"/>
        <v>502647.16428000008</v>
      </c>
      <c r="L27" s="463">
        <f t="shared" si="24"/>
        <v>502647.16428000008</v>
      </c>
      <c r="M27" s="278">
        <f t="shared" si="24"/>
        <v>4006425.6847440004</v>
      </c>
      <c r="N27" s="278">
        <f t="shared" si="24"/>
        <v>4590388.7714880006</v>
      </c>
      <c r="O27" s="278">
        <f t="shared" si="24"/>
        <v>4590388.7714880006</v>
      </c>
      <c r="P27" s="468">
        <f t="shared" si="24"/>
        <v>3015957.8985299999</v>
      </c>
      <c r="Q27" s="278">
        <f t="shared" si="24"/>
        <v>3015957.8985299999</v>
      </c>
      <c r="R27" s="278">
        <f t="shared" si="24"/>
        <v>3015957.8985299999</v>
      </c>
      <c r="S27" s="278">
        <f t="shared" si="24"/>
        <v>3015957.8985299999</v>
      </c>
      <c r="T27" s="278">
        <f t="shared" si="24"/>
        <v>33934.014714285717</v>
      </c>
      <c r="U27" s="278">
        <f t="shared" si="24"/>
        <v>33934.014714285717</v>
      </c>
      <c r="V27" s="278">
        <f t="shared" si="24"/>
        <v>33934.014714285717</v>
      </c>
      <c r="W27" s="278">
        <f t="shared" si="24"/>
        <v>33934.014714285717</v>
      </c>
      <c r="X27" s="278">
        <f t="shared" si="24"/>
        <v>33934.014714285717</v>
      </c>
      <c r="Y27" s="278">
        <f t="shared" si="24"/>
        <v>33934.014714285717</v>
      </c>
      <c r="Z27" s="278">
        <f t="shared" si="24"/>
        <v>33934.014714285717</v>
      </c>
      <c r="AA27" s="278">
        <f t="shared" si="24"/>
        <v>0</v>
      </c>
      <c r="AB27" s="278">
        <f t="shared" si="24"/>
        <v>0</v>
      </c>
      <c r="AC27" s="278">
        <f t="shared" si="24"/>
        <v>0</v>
      </c>
      <c r="AD27" s="278">
        <f t="shared" si="24"/>
        <v>0</v>
      </c>
      <c r="AE27" s="278">
        <f t="shared" si="24"/>
        <v>0</v>
      </c>
      <c r="AF27" s="278">
        <f t="shared" si="24"/>
        <v>0</v>
      </c>
      <c r="AG27" s="278">
        <f t="shared" si="24"/>
        <v>0</v>
      </c>
      <c r="AH27" s="278">
        <f t="shared" si="24"/>
        <v>0</v>
      </c>
      <c r="AI27" s="278">
        <f t="shared" si="24"/>
        <v>0</v>
      </c>
    </row>
    <row r="28" spans="1:35" x14ac:dyDescent="0.25">
      <c r="B28" s="349" t="s">
        <v>302</v>
      </c>
      <c r="C28" s="274"/>
      <c r="D28" s="275">
        <f t="shared" si="9"/>
        <v>10856038.859639999</v>
      </c>
      <c r="E28" s="272"/>
      <c r="F28" s="542">
        <f>(F6+F10+F13+F16+F19)*10%</f>
        <v>105194.83629600001</v>
      </c>
      <c r="G28" s="542">
        <f t="shared" ref="G28:S28" si="25">(G6+G10+G13+G16+G19)*10%</f>
        <v>105194.83629600001</v>
      </c>
      <c r="H28" s="542">
        <f t="shared" si="25"/>
        <v>105194.83629600001</v>
      </c>
      <c r="I28" s="542">
        <f t="shared" si="25"/>
        <v>105194.83629600001</v>
      </c>
      <c r="J28" s="542">
        <f t="shared" si="25"/>
        <v>105194.83629600001</v>
      </c>
      <c r="K28" s="542">
        <f t="shared" si="25"/>
        <v>105194.83629600001</v>
      </c>
      <c r="L28" s="542">
        <f t="shared" si="25"/>
        <v>105194.83629600001</v>
      </c>
      <c r="M28" s="542">
        <f t="shared" si="25"/>
        <v>2504403.2772720004</v>
      </c>
      <c r="N28" s="542">
        <f t="shared" si="25"/>
        <v>2904271.3507680004</v>
      </c>
      <c r="O28" s="542">
        <f t="shared" si="25"/>
        <v>2904271.3507680004</v>
      </c>
      <c r="P28" s="542">
        <f t="shared" si="25"/>
        <v>451682.25668999995</v>
      </c>
      <c r="Q28" s="542">
        <f t="shared" si="25"/>
        <v>451682.25668999995</v>
      </c>
      <c r="R28" s="542">
        <f t="shared" si="25"/>
        <v>451682.25668999995</v>
      </c>
      <c r="S28" s="542">
        <f t="shared" si="25"/>
        <v>451682.25668999995</v>
      </c>
      <c r="T28" s="276">
        <f t="shared" ref="T28:AI29" si="26">(T6+T10+T13+T16)*10%</f>
        <v>0</v>
      </c>
      <c r="U28" s="276">
        <f t="shared" si="26"/>
        <v>0</v>
      </c>
      <c r="V28" s="276">
        <f t="shared" si="26"/>
        <v>0</v>
      </c>
      <c r="W28" s="276">
        <f t="shared" si="26"/>
        <v>0</v>
      </c>
      <c r="X28" s="276">
        <f t="shared" si="26"/>
        <v>0</v>
      </c>
      <c r="Y28" s="276">
        <f t="shared" si="26"/>
        <v>0</v>
      </c>
      <c r="Z28" s="276">
        <f t="shared" si="26"/>
        <v>0</v>
      </c>
      <c r="AA28" s="276">
        <f t="shared" si="26"/>
        <v>0</v>
      </c>
      <c r="AB28" s="276">
        <f t="shared" si="26"/>
        <v>0</v>
      </c>
      <c r="AC28" s="276">
        <f t="shared" si="26"/>
        <v>0</v>
      </c>
      <c r="AD28" s="276">
        <f t="shared" si="26"/>
        <v>0</v>
      </c>
      <c r="AE28" s="276">
        <f t="shared" si="26"/>
        <v>0</v>
      </c>
      <c r="AF28" s="276">
        <f t="shared" si="26"/>
        <v>0</v>
      </c>
      <c r="AG28" s="276">
        <f t="shared" si="26"/>
        <v>0</v>
      </c>
      <c r="AH28" s="276">
        <f t="shared" si="26"/>
        <v>0</v>
      </c>
      <c r="AI28" s="276">
        <f t="shared" si="26"/>
        <v>0</v>
      </c>
    </row>
    <row r="29" spans="1:35" x14ac:dyDescent="0.25">
      <c r="B29" s="350" t="s">
        <v>321</v>
      </c>
      <c r="C29" s="274"/>
      <c r="D29" s="275">
        <f t="shared" si="9"/>
        <v>18151064.215159997</v>
      </c>
      <c r="E29" s="272"/>
      <c r="F29" s="276">
        <f>(F7+F11+F14+F17+F20)*10%</f>
        <v>397452.32798400009</v>
      </c>
      <c r="G29" s="276">
        <f t="shared" ref="G29:S29" si="27">(G7+G11+G14+G17+G20)*10%</f>
        <v>397452.32798400009</v>
      </c>
      <c r="H29" s="276">
        <f t="shared" si="27"/>
        <v>397452.32798400009</v>
      </c>
      <c r="I29" s="276">
        <f t="shared" si="27"/>
        <v>397452.32798400009</v>
      </c>
      <c r="J29" s="276">
        <f t="shared" si="27"/>
        <v>397452.32798400009</v>
      </c>
      <c r="K29" s="276">
        <f t="shared" si="27"/>
        <v>397452.32798400009</v>
      </c>
      <c r="L29" s="276">
        <f t="shared" si="27"/>
        <v>397452.32798400009</v>
      </c>
      <c r="M29" s="276">
        <f t="shared" si="27"/>
        <v>1502022.4074720002</v>
      </c>
      <c r="N29" s="276">
        <f t="shared" si="27"/>
        <v>1686117.4207200003</v>
      </c>
      <c r="O29" s="276">
        <f t="shared" si="27"/>
        <v>1686117.4207200003</v>
      </c>
      <c r="P29" s="276">
        <f t="shared" si="27"/>
        <v>2564275.6418399997</v>
      </c>
      <c r="Q29" s="276">
        <f t="shared" si="27"/>
        <v>2564275.6418399997</v>
      </c>
      <c r="R29" s="276">
        <f t="shared" si="27"/>
        <v>2564275.6418399997</v>
      </c>
      <c r="S29" s="276">
        <f t="shared" si="27"/>
        <v>2564275.6418399997</v>
      </c>
      <c r="T29" s="276">
        <f t="shared" si="26"/>
        <v>33934.014714285717</v>
      </c>
      <c r="U29" s="276">
        <f t="shared" si="26"/>
        <v>33934.014714285717</v>
      </c>
      <c r="V29" s="276">
        <f t="shared" si="26"/>
        <v>33934.014714285717</v>
      </c>
      <c r="W29" s="276">
        <f t="shared" si="26"/>
        <v>33934.014714285717</v>
      </c>
      <c r="X29" s="276">
        <f t="shared" si="26"/>
        <v>33934.014714285717</v>
      </c>
      <c r="Y29" s="276">
        <f t="shared" si="26"/>
        <v>33934.014714285717</v>
      </c>
      <c r="Z29" s="276">
        <f t="shared" si="26"/>
        <v>33934.014714285717</v>
      </c>
      <c r="AA29" s="276">
        <f t="shared" si="26"/>
        <v>0</v>
      </c>
      <c r="AB29" s="276">
        <f t="shared" si="26"/>
        <v>0</v>
      </c>
      <c r="AC29" s="276">
        <f t="shared" si="26"/>
        <v>0</v>
      </c>
      <c r="AD29" s="276">
        <f t="shared" si="26"/>
        <v>0</v>
      </c>
      <c r="AE29" s="276">
        <f t="shared" si="26"/>
        <v>0</v>
      </c>
      <c r="AF29" s="276">
        <f t="shared" si="26"/>
        <v>0</v>
      </c>
      <c r="AG29" s="276">
        <f t="shared" si="26"/>
        <v>0</v>
      </c>
      <c r="AH29" s="276">
        <f t="shared" si="26"/>
        <v>0</v>
      </c>
      <c r="AI29" s="276">
        <f t="shared" si="26"/>
        <v>0</v>
      </c>
    </row>
    <row r="30" spans="1:35" x14ac:dyDescent="0.25">
      <c r="A30" s="172">
        <v>0.85</v>
      </c>
      <c r="B30" s="351" t="s">
        <v>526</v>
      </c>
      <c r="C30" s="274"/>
      <c r="D30" s="277">
        <f t="shared" si="9"/>
        <v>2283409.4582249993</v>
      </c>
      <c r="E30" s="340"/>
      <c r="F30" s="557">
        <f>F31+F32</f>
        <v>39560.193485000011</v>
      </c>
      <c r="G30" s="557">
        <f t="shared" ref="G30:Z30" si="28">G31+G32</f>
        <v>39560.193485000011</v>
      </c>
      <c r="H30" s="557">
        <f t="shared" si="28"/>
        <v>39560.193485000011</v>
      </c>
      <c r="I30" s="557">
        <f t="shared" si="28"/>
        <v>39560.193485000011</v>
      </c>
      <c r="J30" s="557">
        <f t="shared" si="28"/>
        <v>39560.193485000011</v>
      </c>
      <c r="K30" s="557">
        <f t="shared" si="28"/>
        <v>39560.193485000011</v>
      </c>
      <c r="L30" s="557">
        <f t="shared" si="28"/>
        <v>39560.193485000011</v>
      </c>
      <c r="M30" s="557">
        <f t="shared" si="28"/>
        <v>315320.54000300006</v>
      </c>
      <c r="N30" s="557">
        <f t="shared" si="28"/>
        <v>361280.59775600012</v>
      </c>
      <c r="O30" s="557">
        <f t="shared" si="28"/>
        <v>361280.59775600012</v>
      </c>
      <c r="P30" s="557">
        <f t="shared" si="28"/>
        <v>237367.05682875004</v>
      </c>
      <c r="Q30" s="557">
        <f t="shared" si="28"/>
        <v>237367.05682875004</v>
      </c>
      <c r="R30" s="557">
        <f t="shared" si="28"/>
        <v>237367.05682875004</v>
      </c>
      <c r="S30" s="557">
        <f t="shared" si="28"/>
        <v>237367.05682875004</v>
      </c>
      <c r="T30" s="557">
        <f t="shared" si="28"/>
        <v>2734.0201428571431</v>
      </c>
      <c r="U30" s="557">
        <f t="shared" si="28"/>
        <v>2734.0201428571431</v>
      </c>
      <c r="V30" s="557">
        <f t="shared" si="28"/>
        <v>2734.0201428571431</v>
      </c>
      <c r="W30" s="557">
        <f t="shared" si="28"/>
        <v>2734.0201428571431</v>
      </c>
      <c r="X30" s="557">
        <f t="shared" si="28"/>
        <v>2734.0201428571431</v>
      </c>
      <c r="Y30" s="557">
        <f t="shared" si="28"/>
        <v>2734.0201428571431</v>
      </c>
      <c r="Z30" s="557">
        <f t="shared" si="28"/>
        <v>2734.0201428571431</v>
      </c>
      <c r="AA30" s="278">
        <f t="shared" ref="AA30:AI30" si="29">AA8*1%</f>
        <v>0</v>
      </c>
      <c r="AB30" s="278">
        <f t="shared" si="29"/>
        <v>0</v>
      </c>
      <c r="AC30" s="278">
        <f t="shared" si="29"/>
        <v>0</v>
      </c>
      <c r="AD30" s="278">
        <f t="shared" si="29"/>
        <v>0</v>
      </c>
      <c r="AE30" s="278">
        <f t="shared" si="29"/>
        <v>0</v>
      </c>
      <c r="AF30" s="278">
        <f t="shared" si="29"/>
        <v>0</v>
      </c>
      <c r="AG30" s="278">
        <f t="shared" si="29"/>
        <v>0</v>
      </c>
      <c r="AH30" s="278">
        <f t="shared" si="29"/>
        <v>0</v>
      </c>
      <c r="AI30" s="278">
        <f t="shared" si="29"/>
        <v>0</v>
      </c>
    </row>
    <row r="31" spans="1:35" x14ac:dyDescent="0.25">
      <c r="B31" s="349" t="s">
        <v>302</v>
      </c>
      <c r="C31" s="274"/>
      <c r="D31" s="277">
        <f t="shared" si="9"/>
        <v>854410.46580500016</v>
      </c>
      <c r="E31" s="340"/>
      <c r="F31" s="478">
        <f>F6*0.85%</f>
        <v>8279.2232270000022</v>
      </c>
      <c r="G31" s="478">
        <f t="shared" ref="G31:Z32" si="30">G6*0.85%</f>
        <v>8279.2232270000022</v>
      </c>
      <c r="H31" s="478">
        <f t="shared" si="30"/>
        <v>8279.2232270000022</v>
      </c>
      <c r="I31" s="478">
        <f t="shared" si="30"/>
        <v>8279.2232270000022</v>
      </c>
      <c r="J31" s="478">
        <f t="shared" si="30"/>
        <v>8279.2232270000022</v>
      </c>
      <c r="K31" s="478">
        <f t="shared" si="30"/>
        <v>8279.2232270000022</v>
      </c>
      <c r="L31" s="478">
        <f t="shared" si="30"/>
        <v>8279.2232270000022</v>
      </c>
      <c r="M31" s="478">
        <f t="shared" si="30"/>
        <v>197105.81348900005</v>
      </c>
      <c r="N31" s="478">
        <f t="shared" si="30"/>
        <v>228576.91186600007</v>
      </c>
      <c r="O31" s="478">
        <f t="shared" si="30"/>
        <v>228576.91186600007</v>
      </c>
      <c r="P31" s="478">
        <f t="shared" si="30"/>
        <v>35549.066498750006</v>
      </c>
      <c r="Q31" s="478">
        <f t="shared" si="30"/>
        <v>35549.066498750006</v>
      </c>
      <c r="R31" s="478">
        <f t="shared" si="30"/>
        <v>35549.066498750006</v>
      </c>
      <c r="S31" s="478">
        <f t="shared" si="30"/>
        <v>35549.066498750006</v>
      </c>
      <c r="T31" s="478">
        <f t="shared" si="30"/>
        <v>0</v>
      </c>
      <c r="U31" s="478">
        <f t="shared" si="30"/>
        <v>0</v>
      </c>
      <c r="V31" s="478">
        <f t="shared" si="30"/>
        <v>0</v>
      </c>
      <c r="W31" s="278">
        <f t="shared" si="30"/>
        <v>0</v>
      </c>
      <c r="X31" s="278">
        <f t="shared" si="30"/>
        <v>0</v>
      </c>
      <c r="Y31" s="278">
        <f t="shared" si="30"/>
        <v>0</v>
      </c>
      <c r="Z31" s="278">
        <f t="shared" si="30"/>
        <v>0</v>
      </c>
      <c r="AA31" s="278"/>
      <c r="AB31" s="278"/>
      <c r="AC31" s="278"/>
      <c r="AD31" s="278"/>
      <c r="AE31" s="278"/>
      <c r="AF31" s="278"/>
      <c r="AG31" s="278"/>
      <c r="AH31" s="278"/>
      <c r="AI31" s="278"/>
    </row>
    <row r="32" spans="1:35" x14ac:dyDescent="0.25">
      <c r="B32" s="350" t="s">
        <v>321</v>
      </c>
      <c r="C32" s="274"/>
      <c r="D32" s="277">
        <f t="shared" si="9"/>
        <v>1428998.9924200007</v>
      </c>
      <c r="E32" s="340"/>
      <c r="F32" s="478">
        <f>F7*0.85%</f>
        <v>31280.970258000005</v>
      </c>
      <c r="G32" s="478">
        <f t="shared" si="30"/>
        <v>31280.970258000005</v>
      </c>
      <c r="H32" s="478">
        <f t="shared" si="30"/>
        <v>31280.970258000005</v>
      </c>
      <c r="I32" s="478">
        <f t="shared" si="30"/>
        <v>31280.970258000005</v>
      </c>
      <c r="J32" s="478">
        <f t="shared" si="30"/>
        <v>31280.970258000005</v>
      </c>
      <c r="K32" s="478">
        <f t="shared" si="30"/>
        <v>31280.970258000005</v>
      </c>
      <c r="L32" s="478">
        <f t="shared" si="30"/>
        <v>31280.970258000005</v>
      </c>
      <c r="M32" s="478">
        <f t="shared" si="30"/>
        <v>118214.72651400002</v>
      </c>
      <c r="N32" s="478">
        <f t="shared" si="30"/>
        <v>132703.68589000002</v>
      </c>
      <c r="O32" s="478">
        <f t="shared" si="30"/>
        <v>132703.68589000002</v>
      </c>
      <c r="P32" s="478">
        <f t="shared" si="30"/>
        <v>201817.99033000003</v>
      </c>
      <c r="Q32" s="478">
        <f t="shared" si="30"/>
        <v>201817.99033000003</v>
      </c>
      <c r="R32" s="478">
        <f t="shared" si="30"/>
        <v>201817.99033000003</v>
      </c>
      <c r="S32" s="478">
        <f t="shared" si="30"/>
        <v>201817.99033000003</v>
      </c>
      <c r="T32" s="478">
        <f t="shared" si="30"/>
        <v>2734.0201428571431</v>
      </c>
      <c r="U32" s="478">
        <f t="shared" si="30"/>
        <v>2734.0201428571431</v>
      </c>
      <c r="V32" s="478">
        <f t="shared" si="30"/>
        <v>2734.0201428571431</v>
      </c>
      <c r="W32" s="278">
        <f t="shared" si="30"/>
        <v>2734.0201428571431</v>
      </c>
      <c r="X32" s="278">
        <f t="shared" si="30"/>
        <v>2734.0201428571431</v>
      </c>
      <c r="Y32" s="278">
        <f t="shared" si="30"/>
        <v>2734.0201428571431</v>
      </c>
      <c r="Z32" s="278">
        <f t="shared" si="30"/>
        <v>2734.0201428571431</v>
      </c>
      <c r="AA32" s="278">
        <f t="shared" ref="AA32:AI32" si="31">AA7*0.85%</f>
        <v>0</v>
      </c>
      <c r="AB32" s="278">
        <f t="shared" si="31"/>
        <v>0</v>
      </c>
      <c r="AC32" s="278">
        <f t="shared" si="31"/>
        <v>0</v>
      </c>
      <c r="AD32" s="278">
        <f t="shared" si="31"/>
        <v>0</v>
      </c>
      <c r="AE32" s="278">
        <f t="shared" si="31"/>
        <v>0</v>
      </c>
      <c r="AF32" s="278">
        <f t="shared" si="31"/>
        <v>0</v>
      </c>
      <c r="AG32" s="278">
        <f t="shared" si="31"/>
        <v>0</v>
      </c>
      <c r="AH32" s="278">
        <f t="shared" si="31"/>
        <v>0</v>
      </c>
      <c r="AI32" s="278">
        <f t="shared" si="31"/>
        <v>0</v>
      </c>
    </row>
    <row r="33" spans="1:35" x14ac:dyDescent="0.25">
      <c r="A33" s="172">
        <v>0.75</v>
      </c>
      <c r="B33" s="351" t="s">
        <v>634</v>
      </c>
      <c r="C33" s="274"/>
      <c r="D33" s="277">
        <f>D34+D35</f>
        <v>2014773.0513749998</v>
      </c>
      <c r="E33" s="340"/>
      <c r="F33" s="478">
        <f>F34+F35</f>
        <v>34906.053075000003</v>
      </c>
      <c r="G33" s="478">
        <f t="shared" ref="G33:H33" si="32">G34+G35</f>
        <v>34906.053075000003</v>
      </c>
      <c r="H33" s="478">
        <f t="shared" si="32"/>
        <v>34906.053075000003</v>
      </c>
      <c r="I33" s="478">
        <f>I34+I35</f>
        <v>34906.053075000003</v>
      </c>
      <c r="J33" s="478">
        <f t="shared" ref="J33:AI33" si="33">J34+J35</f>
        <v>34906.053075000003</v>
      </c>
      <c r="K33" s="478">
        <f t="shared" si="33"/>
        <v>34906.053075000003</v>
      </c>
      <c r="L33" s="478">
        <f t="shared" si="33"/>
        <v>34906.053075000003</v>
      </c>
      <c r="M33" s="478">
        <f t="shared" si="33"/>
        <v>278224.00588500005</v>
      </c>
      <c r="N33" s="478">
        <f t="shared" si="33"/>
        <v>318776.99802000006</v>
      </c>
      <c r="O33" s="478">
        <f t="shared" si="33"/>
        <v>318776.99802000006</v>
      </c>
      <c r="P33" s="478">
        <f t="shared" si="33"/>
        <v>209441.52073125</v>
      </c>
      <c r="Q33" s="478">
        <f t="shared" si="33"/>
        <v>209441.52073125</v>
      </c>
      <c r="R33" s="478">
        <f t="shared" si="33"/>
        <v>209441.52073125</v>
      </c>
      <c r="S33" s="478">
        <f t="shared" si="33"/>
        <v>209441.52073125</v>
      </c>
      <c r="T33" s="478">
        <f t="shared" si="33"/>
        <v>2412.3707142857143</v>
      </c>
      <c r="U33" s="478">
        <f t="shared" si="33"/>
        <v>2412.3707142857143</v>
      </c>
      <c r="V33" s="478">
        <f t="shared" si="33"/>
        <v>2412.3707142857143</v>
      </c>
      <c r="W33" s="478">
        <f t="shared" si="33"/>
        <v>2412.3707142857143</v>
      </c>
      <c r="X33" s="478">
        <f t="shared" si="33"/>
        <v>2412.3707142857143</v>
      </c>
      <c r="Y33" s="478">
        <f t="shared" si="33"/>
        <v>2412.3707142857143</v>
      </c>
      <c r="Z33" s="478">
        <f t="shared" si="33"/>
        <v>2412.3707142857143</v>
      </c>
      <c r="AA33" s="478">
        <f t="shared" si="33"/>
        <v>0</v>
      </c>
      <c r="AB33" s="478">
        <f t="shared" si="33"/>
        <v>0</v>
      </c>
      <c r="AC33" s="478">
        <f t="shared" si="33"/>
        <v>0</v>
      </c>
      <c r="AD33" s="478">
        <f t="shared" si="33"/>
        <v>0</v>
      </c>
      <c r="AE33" s="478">
        <f t="shared" si="33"/>
        <v>0</v>
      </c>
      <c r="AF33" s="478">
        <f t="shared" si="33"/>
        <v>0</v>
      </c>
      <c r="AG33" s="478">
        <f t="shared" si="33"/>
        <v>0</v>
      </c>
      <c r="AH33" s="478">
        <f t="shared" si="33"/>
        <v>0</v>
      </c>
      <c r="AI33" s="478">
        <f t="shared" si="33"/>
        <v>0</v>
      </c>
    </row>
    <row r="34" spans="1:35" x14ac:dyDescent="0.25">
      <c r="B34" s="349" t="s">
        <v>302</v>
      </c>
      <c r="C34" s="274"/>
      <c r="D34" s="277">
        <f>SUM(F34:Z34)</f>
        <v>753891.58747500018</v>
      </c>
      <c r="E34" s="340"/>
      <c r="F34" s="478">
        <f>0.75%*F6</f>
        <v>7305.1969650000001</v>
      </c>
      <c r="G34" s="478">
        <f t="shared" ref="G34:AI35" si="34">0.75%*G6</f>
        <v>7305.1969650000001</v>
      </c>
      <c r="H34" s="478">
        <f t="shared" si="34"/>
        <v>7305.1969650000001</v>
      </c>
      <c r="I34" s="478">
        <f t="shared" si="34"/>
        <v>7305.1969650000001</v>
      </c>
      <c r="J34" s="478">
        <f t="shared" si="34"/>
        <v>7305.1969650000001</v>
      </c>
      <c r="K34" s="478">
        <f t="shared" si="34"/>
        <v>7305.1969650000001</v>
      </c>
      <c r="L34" s="478">
        <f t="shared" si="34"/>
        <v>7305.1969650000001</v>
      </c>
      <c r="M34" s="478">
        <f t="shared" si="34"/>
        <v>173916.89425500002</v>
      </c>
      <c r="N34" s="478">
        <f t="shared" si="34"/>
        <v>201685.51047000004</v>
      </c>
      <c r="O34" s="478">
        <f t="shared" si="34"/>
        <v>201685.51047000004</v>
      </c>
      <c r="P34" s="478">
        <f t="shared" si="34"/>
        <v>31366.82338125</v>
      </c>
      <c r="Q34" s="478">
        <f t="shared" si="34"/>
        <v>31366.82338125</v>
      </c>
      <c r="R34" s="478">
        <f t="shared" si="34"/>
        <v>31366.82338125</v>
      </c>
      <c r="S34" s="478">
        <f t="shared" si="34"/>
        <v>31366.82338125</v>
      </c>
      <c r="T34" s="478">
        <f t="shared" si="34"/>
        <v>0</v>
      </c>
      <c r="U34" s="478">
        <f t="shared" si="34"/>
        <v>0</v>
      </c>
      <c r="V34" s="478">
        <f t="shared" si="34"/>
        <v>0</v>
      </c>
      <c r="W34" s="478">
        <f t="shared" si="34"/>
        <v>0</v>
      </c>
      <c r="X34" s="478">
        <f t="shared" si="34"/>
        <v>0</v>
      </c>
      <c r="Y34" s="478">
        <f t="shared" si="34"/>
        <v>0</v>
      </c>
      <c r="Z34" s="478">
        <f t="shared" si="34"/>
        <v>0</v>
      </c>
      <c r="AA34" s="478">
        <f t="shared" si="34"/>
        <v>0</v>
      </c>
      <c r="AB34" s="478">
        <f t="shared" si="34"/>
        <v>0</v>
      </c>
      <c r="AC34" s="478">
        <f t="shared" si="34"/>
        <v>0</v>
      </c>
      <c r="AD34" s="478">
        <f t="shared" si="34"/>
        <v>0</v>
      </c>
      <c r="AE34" s="478">
        <f t="shared" si="34"/>
        <v>0</v>
      </c>
      <c r="AF34" s="478">
        <f t="shared" si="34"/>
        <v>0</v>
      </c>
      <c r="AG34" s="478">
        <f t="shared" si="34"/>
        <v>0</v>
      </c>
      <c r="AH34" s="478">
        <f t="shared" si="34"/>
        <v>0</v>
      </c>
      <c r="AI34" s="478">
        <f t="shared" si="34"/>
        <v>0</v>
      </c>
    </row>
    <row r="35" spans="1:35" x14ac:dyDescent="0.25">
      <c r="B35" s="350" t="s">
        <v>321</v>
      </c>
      <c r="C35" s="274"/>
      <c r="D35" s="277">
        <f>SUM(F35:Z35)</f>
        <v>1260881.4638999996</v>
      </c>
      <c r="E35" s="340"/>
      <c r="F35" s="478">
        <f>0.75%*F7</f>
        <v>27600.856110000004</v>
      </c>
      <c r="G35" s="478">
        <f t="shared" si="34"/>
        <v>27600.856110000004</v>
      </c>
      <c r="H35" s="478">
        <f t="shared" si="34"/>
        <v>27600.856110000004</v>
      </c>
      <c r="I35" s="478">
        <f t="shared" si="34"/>
        <v>27600.856110000004</v>
      </c>
      <c r="J35" s="478">
        <f t="shared" si="34"/>
        <v>27600.856110000004</v>
      </c>
      <c r="K35" s="478">
        <f t="shared" si="34"/>
        <v>27600.856110000004</v>
      </c>
      <c r="L35" s="478">
        <f t="shared" si="34"/>
        <v>27600.856110000004</v>
      </c>
      <c r="M35" s="478">
        <f t="shared" si="34"/>
        <v>104307.11163000001</v>
      </c>
      <c r="N35" s="478">
        <f t="shared" si="34"/>
        <v>117091.48755000001</v>
      </c>
      <c r="O35" s="478">
        <f t="shared" si="34"/>
        <v>117091.48755000001</v>
      </c>
      <c r="P35" s="478">
        <f t="shared" si="34"/>
        <v>178074.69735</v>
      </c>
      <c r="Q35" s="478">
        <f t="shared" si="34"/>
        <v>178074.69735</v>
      </c>
      <c r="R35" s="478">
        <f t="shared" si="34"/>
        <v>178074.69735</v>
      </c>
      <c r="S35" s="478">
        <f t="shared" si="34"/>
        <v>178074.69735</v>
      </c>
      <c r="T35" s="478">
        <f t="shared" si="34"/>
        <v>2412.3707142857143</v>
      </c>
      <c r="U35" s="478">
        <f t="shared" si="34"/>
        <v>2412.3707142857143</v>
      </c>
      <c r="V35" s="478">
        <f t="shared" si="34"/>
        <v>2412.3707142857143</v>
      </c>
      <c r="W35" s="478">
        <f t="shared" si="34"/>
        <v>2412.3707142857143</v>
      </c>
      <c r="X35" s="478">
        <f t="shared" si="34"/>
        <v>2412.3707142857143</v>
      </c>
      <c r="Y35" s="478">
        <f t="shared" si="34"/>
        <v>2412.3707142857143</v>
      </c>
      <c r="Z35" s="478">
        <f t="shared" si="34"/>
        <v>2412.3707142857143</v>
      </c>
      <c r="AA35" s="478">
        <f t="shared" si="34"/>
        <v>0</v>
      </c>
      <c r="AB35" s="478">
        <f t="shared" si="34"/>
        <v>0</v>
      </c>
      <c r="AC35" s="478">
        <f t="shared" si="34"/>
        <v>0</v>
      </c>
      <c r="AD35" s="478">
        <f t="shared" si="34"/>
        <v>0</v>
      </c>
      <c r="AE35" s="478">
        <f t="shared" si="34"/>
        <v>0</v>
      </c>
      <c r="AF35" s="478">
        <f t="shared" si="34"/>
        <v>0</v>
      </c>
      <c r="AG35" s="478">
        <f t="shared" si="34"/>
        <v>0</v>
      </c>
      <c r="AH35" s="478">
        <f t="shared" si="34"/>
        <v>0</v>
      </c>
      <c r="AI35" s="478">
        <f t="shared" si="34"/>
        <v>0</v>
      </c>
    </row>
    <row r="36" spans="1:35" x14ac:dyDescent="0.25">
      <c r="B36" s="279" t="s">
        <v>354</v>
      </c>
      <c r="C36" s="274"/>
      <c r="D36" s="275">
        <f>SUM(E36:AG36)</f>
        <v>327780964.80285722</v>
      </c>
      <c r="E36" s="272"/>
      <c r="F36" s="280">
        <f>SUM(F37:F38)</f>
        <v>5678051.3002000004</v>
      </c>
      <c r="G36" s="280">
        <f t="shared" ref="G36:AI36" si="35">SUM(G37:G38)</f>
        <v>5678051.3002000004</v>
      </c>
      <c r="H36" s="280">
        <f t="shared" si="35"/>
        <v>5678051.3002000004</v>
      </c>
      <c r="I36" s="280">
        <f t="shared" si="35"/>
        <v>5678051.3002000004</v>
      </c>
      <c r="J36" s="280">
        <f t="shared" si="35"/>
        <v>5678051.3002000004</v>
      </c>
      <c r="K36" s="280">
        <f t="shared" si="35"/>
        <v>5678051.3002000004</v>
      </c>
      <c r="L36" s="465">
        <f t="shared" si="35"/>
        <v>5678051.3002000004</v>
      </c>
      <c r="M36" s="280">
        <f t="shared" si="35"/>
        <v>45257771.623960011</v>
      </c>
      <c r="N36" s="280">
        <f t="shared" si="35"/>
        <v>51854391.677920006</v>
      </c>
      <c r="O36" s="280">
        <f>SUM(O37:O38)</f>
        <v>51854391.677920006</v>
      </c>
      <c r="P36" s="470">
        <f t="shared" si="35"/>
        <v>34069154.038949996</v>
      </c>
      <c r="Q36" s="280">
        <f t="shared" si="35"/>
        <v>34069154.038949996</v>
      </c>
      <c r="R36" s="280">
        <f t="shared" si="35"/>
        <v>34069154.038949996</v>
      </c>
      <c r="S36" s="280">
        <f t="shared" si="35"/>
        <v>34069154.038949996</v>
      </c>
      <c r="T36" s="280">
        <f t="shared" si="35"/>
        <v>391608.17928571429</v>
      </c>
      <c r="U36" s="280">
        <f t="shared" si="35"/>
        <v>391608.17928571429</v>
      </c>
      <c r="V36" s="280">
        <f t="shared" si="35"/>
        <v>391608.17928571429</v>
      </c>
      <c r="W36" s="280">
        <f t="shared" si="35"/>
        <v>404152.50700000004</v>
      </c>
      <c r="X36" s="280">
        <f t="shared" si="35"/>
        <v>404152.50700000004</v>
      </c>
      <c r="Y36" s="280">
        <f t="shared" si="35"/>
        <v>404152.50700000004</v>
      </c>
      <c r="Z36" s="280">
        <f t="shared" si="35"/>
        <v>404152.50700000004</v>
      </c>
      <c r="AA36" s="280">
        <f t="shared" si="35"/>
        <v>0</v>
      </c>
      <c r="AB36" s="280">
        <f t="shared" si="35"/>
        <v>0</v>
      </c>
      <c r="AC36" s="280">
        <f t="shared" si="35"/>
        <v>0</v>
      </c>
      <c r="AD36" s="280">
        <f t="shared" si="35"/>
        <v>0</v>
      </c>
      <c r="AE36" s="280">
        <f t="shared" si="35"/>
        <v>0</v>
      </c>
      <c r="AF36" s="280">
        <f t="shared" si="35"/>
        <v>0</v>
      </c>
      <c r="AG36" s="280">
        <f t="shared" si="35"/>
        <v>0</v>
      </c>
      <c r="AH36" s="280">
        <f t="shared" si="35"/>
        <v>0</v>
      </c>
      <c r="AI36" s="280">
        <f t="shared" si="35"/>
        <v>0</v>
      </c>
    </row>
    <row r="37" spans="1:35" x14ac:dyDescent="0.25">
      <c r="B37" s="273" t="s">
        <v>302</v>
      </c>
      <c r="C37" s="274"/>
      <c r="D37" s="275">
        <f t="shared" si="9"/>
        <v>122633031.56260002</v>
      </c>
      <c r="E37" s="272"/>
      <c r="F37" s="276">
        <f>F6+F13+F16+F19+F25+F28+F31+F22+F34+F10</f>
        <v>1188312.0396399999</v>
      </c>
      <c r="G37" s="276">
        <f t="shared" ref="G37:AI38" si="36">G6+G13+G16+G19+G25+G28+G31+G22+G34+G10</f>
        <v>1188312.0396399999</v>
      </c>
      <c r="H37" s="276">
        <f t="shared" si="36"/>
        <v>1188312.0396399999</v>
      </c>
      <c r="I37" s="276">
        <f t="shared" si="36"/>
        <v>1188312.0396399999</v>
      </c>
      <c r="J37" s="276">
        <f t="shared" si="36"/>
        <v>1188312.0396399999</v>
      </c>
      <c r="K37" s="276">
        <f t="shared" si="36"/>
        <v>1188312.0396399999</v>
      </c>
      <c r="L37" s="276">
        <f t="shared" si="36"/>
        <v>1188312.0396399999</v>
      </c>
      <c r="M37" s="276">
        <f t="shared" si="36"/>
        <v>28290481.465480011</v>
      </c>
      <c r="N37" s="276">
        <f t="shared" si="36"/>
        <v>32807509.703120004</v>
      </c>
      <c r="O37" s="276">
        <f t="shared" si="36"/>
        <v>32807509.703120004</v>
      </c>
      <c r="P37" s="276">
        <f t="shared" si="36"/>
        <v>5102336.6033499995</v>
      </c>
      <c r="Q37" s="276">
        <f t="shared" si="36"/>
        <v>5102336.6033499995</v>
      </c>
      <c r="R37" s="276">
        <f t="shared" si="36"/>
        <v>5102336.6033499995</v>
      </c>
      <c r="S37" s="276">
        <f t="shared" si="36"/>
        <v>5102336.6033499995</v>
      </c>
      <c r="T37" s="276">
        <f t="shared" si="36"/>
        <v>0</v>
      </c>
      <c r="U37" s="276">
        <f t="shared" si="36"/>
        <v>0</v>
      </c>
      <c r="V37" s="276">
        <f t="shared" si="36"/>
        <v>0</v>
      </c>
      <c r="W37" s="276">
        <f t="shared" si="36"/>
        <v>0</v>
      </c>
      <c r="X37" s="276">
        <f t="shared" si="36"/>
        <v>0</v>
      </c>
      <c r="Y37" s="276">
        <f t="shared" si="36"/>
        <v>0</v>
      </c>
      <c r="Z37" s="276">
        <f t="shared" si="36"/>
        <v>0</v>
      </c>
      <c r="AA37" s="276">
        <f t="shared" si="36"/>
        <v>0</v>
      </c>
      <c r="AB37" s="276">
        <f t="shared" si="36"/>
        <v>0</v>
      </c>
      <c r="AC37" s="276">
        <f t="shared" si="36"/>
        <v>0</v>
      </c>
      <c r="AD37" s="276">
        <f t="shared" si="36"/>
        <v>0</v>
      </c>
      <c r="AE37" s="276">
        <f t="shared" si="36"/>
        <v>0</v>
      </c>
      <c r="AF37" s="276">
        <f t="shared" si="36"/>
        <v>0</v>
      </c>
      <c r="AG37" s="276">
        <f t="shared" si="36"/>
        <v>0</v>
      </c>
      <c r="AH37" s="276">
        <f t="shared" si="36"/>
        <v>0</v>
      </c>
      <c r="AI37" s="276">
        <f t="shared" si="36"/>
        <v>0</v>
      </c>
    </row>
    <row r="38" spans="1:35" x14ac:dyDescent="0.25">
      <c r="B38" s="273" t="s">
        <v>321</v>
      </c>
      <c r="C38" s="274"/>
      <c r="D38" s="275">
        <f t="shared" si="9"/>
        <v>205147933.24025708</v>
      </c>
      <c r="E38" s="272"/>
      <c r="F38" s="276">
        <f>F7+F14+F17+F20+F26+F29+F32+F23+F35+F11</f>
        <v>4489739.2605600003</v>
      </c>
      <c r="G38" s="276">
        <f t="shared" si="36"/>
        <v>4489739.2605600003</v>
      </c>
      <c r="H38" s="276">
        <f t="shared" si="36"/>
        <v>4489739.2605600003</v>
      </c>
      <c r="I38" s="276">
        <f t="shared" si="36"/>
        <v>4489739.2605600003</v>
      </c>
      <c r="J38" s="276">
        <f t="shared" si="36"/>
        <v>4489739.2605600003</v>
      </c>
      <c r="K38" s="276">
        <f t="shared" si="36"/>
        <v>4489739.2605600003</v>
      </c>
      <c r="L38" s="276">
        <f t="shared" si="36"/>
        <v>4489739.2605600003</v>
      </c>
      <c r="M38" s="276">
        <f t="shared" si="36"/>
        <v>16967290.15848</v>
      </c>
      <c r="N38" s="276">
        <f t="shared" si="36"/>
        <v>19046881.974800002</v>
      </c>
      <c r="O38" s="276">
        <f t="shared" si="36"/>
        <v>19046881.974800002</v>
      </c>
      <c r="P38" s="276">
        <f t="shared" si="36"/>
        <v>28966817.435599994</v>
      </c>
      <c r="Q38" s="276">
        <f t="shared" si="36"/>
        <v>28966817.435599994</v>
      </c>
      <c r="R38" s="276">
        <f t="shared" si="36"/>
        <v>28966817.435599994</v>
      </c>
      <c r="S38" s="276">
        <f t="shared" si="36"/>
        <v>28966817.435599994</v>
      </c>
      <c r="T38" s="276">
        <f t="shared" si="36"/>
        <v>391608.17928571429</v>
      </c>
      <c r="U38" s="276">
        <f t="shared" si="36"/>
        <v>391608.17928571429</v>
      </c>
      <c r="V38" s="276">
        <f t="shared" si="36"/>
        <v>391608.17928571429</v>
      </c>
      <c r="W38" s="276">
        <f t="shared" si="36"/>
        <v>404152.50700000004</v>
      </c>
      <c r="X38" s="276">
        <f t="shared" si="36"/>
        <v>404152.50700000004</v>
      </c>
      <c r="Y38" s="276">
        <f t="shared" si="36"/>
        <v>404152.50700000004</v>
      </c>
      <c r="Z38" s="276">
        <f t="shared" si="36"/>
        <v>404152.50700000004</v>
      </c>
      <c r="AA38" s="276">
        <f t="shared" si="36"/>
        <v>0</v>
      </c>
      <c r="AB38" s="276">
        <f t="shared" si="36"/>
        <v>0</v>
      </c>
      <c r="AC38" s="276">
        <f t="shared" si="36"/>
        <v>0</v>
      </c>
      <c r="AD38" s="276">
        <f t="shared" si="36"/>
        <v>0</v>
      </c>
      <c r="AE38" s="276">
        <f t="shared" si="36"/>
        <v>0</v>
      </c>
      <c r="AF38" s="276">
        <f t="shared" si="36"/>
        <v>0</v>
      </c>
      <c r="AG38" s="276">
        <f t="shared" si="36"/>
        <v>0</v>
      </c>
      <c r="AH38" s="276">
        <f t="shared" si="36"/>
        <v>0</v>
      </c>
      <c r="AI38" s="276">
        <f t="shared" si="36"/>
        <v>0</v>
      </c>
    </row>
    <row r="39" spans="1:35" x14ac:dyDescent="0.25">
      <c r="B39" s="514"/>
      <c r="C39" s="274"/>
      <c r="D39" s="281"/>
      <c r="E39" s="272"/>
      <c r="F39" s="282"/>
      <c r="G39" s="282"/>
      <c r="H39" s="282"/>
      <c r="I39" s="282"/>
      <c r="J39" s="282"/>
      <c r="K39" s="282"/>
      <c r="L39" s="282"/>
      <c r="M39" s="471"/>
      <c r="N39" s="471"/>
      <c r="O39" s="471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72"/>
      <c r="AI39" s="272"/>
    </row>
    <row r="40" spans="1:35" x14ac:dyDescent="0.25">
      <c r="B40" s="697" t="s">
        <v>531</v>
      </c>
      <c r="C40" s="698" t="s">
        <v>272</v>
      </c>
      <c r="D40" s="698" t="s">
        <v>303</v>
      </c>
      <c r="E40" s="695">
        <v>2013</v>
      </c>
      <c r="F40" s="695">
        <f>E40+1</f>
        <v>2014</v>
      </c>
      <c r="G40" s="695">
        <f t="shared" ref="G40:AG40" si="37">F40+1</f>
        <v>2015</v>
      </c>
      <c r="H40" s="695">
        <f t="shared" si="37"/>
        <v>2016</v>
      </c>
      <c r="I40" s="695">
        <f t="shared" si="37"/>
        <v>2017</v>
      </c>
      <c r="J40" s="695">
        <f t="shared" si="37"/>
        <v>2018</v>
      </c>
      <c r="K40" s="695">
        <f t="shared" si="37"/>
        <v>2019</v>
      </c>
      <c r="L40" s="695">
        <f t="shared" si="37"/>
        <v>2020</v>
      </c>
      <c r="M40" s="695">
        <f t="shared" si="37"/>
        <v>2021</v>
      </c>
      <c r="N40" s="695">
        <f t="shared" si="37"/>
        <v>2022</v>
      </c>
      <c r="O40" s="695">
        <f t="shared" si="37"/>
        <v>2023</v>
      </c>
      <c r="P40" s="695">
        <f t="shared" si="37"/>
        <v>2024</v>
      </c>
      <c r="Q40" s="695">
        <f t="shared" si="37"/>
        <v>2025</v>
      </c>
      <c r="R40" s="695">
        <f t="shared" si="37"/>
        <v>2026</v>
      </c>
      <c r="S40" s="695">
        <f t="shared" si="37"/>
        <v>2027</v>
      </c>
      <c r="T40" s="695">
        <f t="shared" si="37"/>
        <v>2028</v>
      </c>
      <c r="U40" s="695">
        <f t="shared" si="37"/>
        <v>2029</v>
      </c>
      <c r="V40" s="695">
        <f t="shared" si="37"/>
        <v>2030</v>
      </c>
      <c r="W40" s="696">
        <f t="shared" si="37"/>
        <v>2031</v>
      </c>
      <c r="X40" s="696">
        <f t="shared" si="37"/>
        <v>2032</v>
      </c>
      <c r="Y40" s="696">
        <f t="shared" si="37"/>
        <v>2033</v>
      </c>
      <c r="Z40" s="696">
        <f t="shared" si="37"/>
        <v>2034</v>
      </c>
      <c r="AA40" s="696">
        <f t="shared" si="37"/>
        <v>2035</v>
      </c>
      <c r="AB40" s="696">
        <f t="shared" si="37"/>
        <v>2036</v>
      </c>
      <c r="AC40" s="696">
        <f t="shared" si="37"/>
        <v>2037</v>
      </c>
      <c r="AD40" s="696">
        <f t="shared" si="37"/>
        <v>2038</v>
      </c>
      <c r="AE40" s="696">
        <f t="shared" si="37"/>
        <v>2039</v>
      </c>
      <c r="AF40" s="696">
        <f t="shared" si="37"/>
        <v>2040</v>
      </c>
      <c r="AG40" s="696">
        <f t="shared" si="37"/>
        <v>2041</v>
      </c>
      <c r="AH40" s="696">
        <v>2042</v>
      </c>
      <c r="AI40" s="696">
        <v>2043</v>
      </c>
    </row>
    <row r="41" spans="1:35" x14ac:dyDescent="0.25">
      <c r="B41" s="697"/>
      <c r="C41" s="698"/>
      <c r="D41" s="698"/>
      <c r="E41" s="695"/>
      <c r="F41" s="695"/>
      <c r="G41" s="695"/>
      <c r="H41" s="695"/>
      <c r="I41" s="695"/>
      <c r="J41" s="695"/>
      <c r="K41" s="695"/>
      <c r="L41" s="695"/>
      <c r="M41" s="695"/>
      <c r="N41" s="695"/>
      <c r="O41" s="695"/>
      <c r="P41" s="695"/>
      <c r="Q41" s="695"/>
      <c r="R41" s="695"/>
      <c r="S41" s="695"/>
      <c r="T41" s="695"/>
      <c r="U41" s="695"/>
      <c r="V41" s="695"/>
      <c r="W41" s="696"/>
      <c r="X41" s="696"/>
      <c r="Y41" s="696"/>
      <c r="Z41" s="696"/>
      <c r="AA41" s="696"/>
      <c r="AB41" s="696"/>
      <c r="AC41" s="696"/>
      <c r="AD41" s="696"/>
      <c r="AE41" s="696"/>
      <c r="AF41" s="696"/>
      <c r="AG41" s="696"/>
      <c r="AH41" s="696"/>
      <c r="AI41" s="696"/>
    </row>
    <row r="42" spans="1:35" ht="15" customHeight="1" x14ac:dyDescent="0.25">
      <c r="B42" s="291" t="s">
        <v>340</v>
      </c>
      <c r="C42" s="292" t="s">
        <v>316</v>
      </c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5" x14ac:dyDescent="0.25">
      <c r="B43" s="293" t="s">
        <v>302</v>
      </c>
      <c r="C43" s="293"/>
      <c r="D43" s="294">
        <f>SUM(E43:AI43)</f>
        <v>5025943.9165000021</v>
      </c>
      <c r="E43" s="293"/>
      <c r="F43" s="293"/>
      <c r="G43" s="293"/>
      <c r="H43" s="293"/>
      <c r="I43" s="293"/>
      <c r="J43" s="293"/>
      <c r="K43" s="293"/>
      <c r="L43" s="293"/>
      <c r="M43" s="295">
        <f>F6*5%</f>
        <v>48701.313100000007</v>
      </c>
      <c r="N43" s="295">
        <f t="shared" ref="N43:AC44" si="38">G6*5%</f>
        <v>48701.313100000007</v>
      </c>
      <c r="O43" s="295">
        <f t="shared" si="38"/>
        <v>48701.313100000007</v>
      </c>
      <c r="P43" s="295">
        <f t="shared" si="38"/>
        <v>48701.313100000007</v>
      </c>
      <c r="Q43" s="295">
        <f t="shared" si="38"/>
        <v>48701.313100000007</v>
      </c>
      <c r="R43" s="295">
        <f t="shared" si="38"/>
        <v>48701.313100000007</v>
      </c>
      <c r="S43" s="295">
        <f t="shared" si="38"/>
        <v>48701.313100000007</v>
      </c>
      <c r="T43" s="295">
        <f t="shared" si="38"/>
        <v>1159445.9617000003</v>
      </c>
      <c r="U43" s="295">
        <f t="shared" si="38"/>
        <v>1344570.0698000004</v>
      </c>
      <c r="V43" s="295">
        <f t="shared" si="38"/>
        <v>1344570.0698000004</v>
      </c>
      <c r="W43" s="295">
        <f t="shared" si="38"/>
        <v>209112.15587500003</v>
      </c>
      <c r="X43" s="295">
        <f t="shared" si="38"/>
        <v>209112.15587500003</v>
      </c>
      <c r="Y43" s="295">
        <f t="shared" si="38"/>
        <v>209112.15587500003</v>
      </c>
      <c r="Z43" s="295">
        <f t="shared" si="38"/>
        <v>209112.15587500003</v>
      </c>
      <c r="AA43" s="295">
        <f t="shared" si="38"/>
        <v>0</v>
      </c>
      <c r="AB43" s="295">
        <f t="shared" si="38"/>
        <v>0</v>
      </c>
      <c r="AC43" s="295">
        <f t="shared" si="38"/>
        <v>0</v>
      </c>
      <c r="AD43" s="295">
        <f>AC43</f>
        <v>0</v>
      </c>
      <c r="AE43" s="295">
        <f t="shared" ref="AE43:AG44" si="39">AD43</f>
        <v>0</v>
      </c>
      <c r="AF43" s="295">
        <f t="shared" si="39"/>
        <v>0</v>
      </c>
      <c r="AG43" s="295">
        <f>AF43</f>
        <v>0</v>
      </c>
      <c r="AH43" s="295">
        <f t="shared" ref="AH43:AI44" si="40">AG43</f>
        <v>0</v>
      </c>
      <c r="AI43" s="295">
        <f t="shared" si="40"/>
        <v>0</v>
      </c>
    </row>
    <row r="44" spans="1:35" x14ac:dyDescent="0.25">
      <c r="B44" s="296" t="s">
        <v>321</v>
      </c>
      <c r="C44" s="293"/>
      <c r="D44" s="294">
        <f t="shared" ref="D44:D45" si="41">SUM(E44:AI44)</f>
        <v>8438041.3688571434</v>
      </c>
      <c r="E44" s="293"/>
      <c r="F44" s="293"/>
      <c r="G44" s="293"/>
      <c r="H44" s="293"/>
      <c r="I44" s="293"/>
      <c r="J44" s="293"/>
      <c r="K44" s="293"/>
      <c r="L44" s="293"/>
      <c r="M44" s="295">
        <f>F7*5%</f>
        <v>184005.70740000004</v>
      </c>
      <c r="N44" s="295">
        <f t="shared" si="38"/>
        <v>184005.70740000004</v>
      </c>
      <c r="O44" s="295">
        <f t="shared" si="38"/>
        <v>184005.70740000004</v>
      </c>
      <c r="P44" s="295">
        <f t="shared" si="38"/>
        <v>184005.70740000004</v>
      </c>
      <c r="Q44" s="295">
        <f t="shared" si="38"/>
        <v>184005.70740000004</v>
      </c>
      <c r="R44" s="295">
        <f t="shared" si="38"/>
        <v>184005.70740000004</v>
      </c>
      <c r="S44" s="295">
        <f t="shared" si="38"/>
        <v>184005.70740000004</v>
      </c>
      <c r="T44" s="295">
        <f t="shared" si="38"/>
        <v>695380.74420000007</v>
      </c>
      <c r="U44" s="295">
        <f t="shared" si="38"/>
        <v>780609.91700000013</v>
      </c>
      <c r="V44" s="295">
        <f t="shared" si="38"/>
        <v>780609.91700000013</v>
      </c>
      <c r="W44" s="295">
        <f t="shared" si="38"/>
        <v>1187164.649</v>
      </c>
      <c r="X44" s="295">
        <f t="shared" si="38"/>
        <v>1187164.649</v>
      </c>
      <c r="Y44" s="295">
        <f t="shared" si="38"/>
        <v>1187164.649</v>
      </c>
      <c r="Z44" s="295">
        <f t="shared" si="38"/>
        <v>1187164.649</v>
      </c>
      <c r="AA44" s="295">
        <f t="shared" si="38"/>
        <v>16082.471428571429</v>
      </c>
      <c r="AB44" s="295">
        <f t="shared" si="38"/>
        <v>16082.471428571429</v>
      </c>
      <c r="AC44" s="295">
        <f t="shared" si="38"/>
        <v>16082.471428571429</v>
      </c>
      <c r="AD44" s="295">
        <f>AC44</f>
        <v>16082.471428571429</v>
      </c>
      <c r="AE44" s="295">
        <f t="shared" si="39"/>
        <v>16082.471428571429</v>
      </c>
      <c r="AF44" s="295">
        <f t="shared" si="39"/>
        <v>16082.471428571429</v>
      </c>
      <c r="AG44" s="295">
        <f t="shared" si="39"/>
        <v>16082.471428571429</v>
      </c>
      <c r="AH44" s="295">
        <f t="shared" si="40"/>
        <v>16082.471428571429</v>
      </c>
      <c r="AI44" s="295">
        <f t="shared" si="40"/>
        <v>16082.471428571429</v>
      </c>
    </row>
    <row r="45" spans="1:35" x14ac:dyDescent="0.25">
      <c r="B45" s="296" t="s">
        <v>339</v>
      </c>
      <c r="C45" s="293"/>
      <c r="D45" s="294">
        <f t="shared" si="41"/>
        <v>13463985.28535714</v>
      </c>
      <c r="E45" s="293"/>
      <c r="F45" s="293"/>
      <c r="G45" s="293"/>
      <c r="H45" s="293"/>
      <c r="I45" s="293"/>
      <c r="J45" s="293"/>
      <c r="K45" s="293"/>
      <c r="L45" s="293"/>
      <c r="M45" s="297">
        <f>SUM(M43:M44)</f>
        <v>232707.02050000004</v>
      </c>
      <c r="N45" s="297">
        <f t="shared" ref="N45:AI45" si="42">SUM(N43:N44)</f>
        <v>232707.02050000004</v>
      </c>
      <c r="O45" s="297">
        <f t="shared" si="42"/>
        <v>232707.02050000004</v>
      </c>
      <c r="P45" s="297">
        <f t="shared" si="42"/>
        <v>232707.02050000004</v>
      </c>
      <c r="Q45" s="297">
        <f t="shared" si="42"/>
        <v>232707.02050000004</v>
      </c>
      <c r="R45" s="297">
        <f t="shared" si="42"/>
        <v>232707.02050000004</v>
      </c>
      <c r="S45" s="297">
        <f t="shared" si="42"/>
        <v>232707.02050000004</v>
      </c>
      <c r="T45" s="297">
        <f t="shared" si="42"/>
        <v>1854826.7059000004</v>
      </c>
      <c r="U45" s="297">
        <f t="shared" si="42"/>
        <v>2125179.9868000005</v>
      </c>
      <c r="V45" s="297">
        <f t="shared" si="42"/>
        <v>2125179.9868000005</v>
      </c>
      <c r="W45" s="297">
        <f t="shared" si="42"/>
        <v>1396276.8048749999</v>
      </c>
      <c r="X45" s="297">
        <f t="shared" si="42"/>
        <v>1396276.8048749999</v>
      </c>
      <c r="Y45" s="297">
        <f t="shared" si="42"/>
        <v>1396276.8048749999</v>
      </c>
      <c r="Z45" s="297">
        <f t="shared" si="42"/>
        <v>1396276.8048749999</v>
      </c>
      <c r="AA45" s="297">
        <f t="shared" si="42"/>
        <v>16082.471428571429</v>
      </c>
      <c r="AB45" s="297">
        <f t="shared" si="42"/>
        <v>16082.471428571429</v>
      </c>
      <c r="AC45" s="297">
        <f t="shared" si="42"/>
        <v>16082.471428571429</v>
      </c>
      <c r="AD45" s="297">
        <f t="shared" si="42"/>
        <v>16082.471428571429</v>
      </c>
      <c r="AE45" s="297">
        <f t="shared" si="42"/>
        <v>16082.471428571429</v>
      </c>
      <c r="AF45" s="297">
        <f t="shared" si="42"/>
        <v>16082.471428571429</v>
      </c>
      <c r="AG45" s="297">
        <f t="shared" si="42"/>
        <v>16082.471428571429</v>
      </c>
      <c r="AH45" s="297">
        <f t="shared" si="42"/>
        <v>16082.471428571429</v>
      </c>
      <c r="AI45" s="297">
        <f t="shared" si="42"/>
        <v>16082.471428571429</v>
      </c>
    </row>
    <row r="47" spans="1:35" x14ac:dyDescent="0.25">
      <c r="C47" s="184"/>
      <c r="D47" s="460"/>
      <c r="E47" s="461"/>
      <c r="F47" s="664"/>
      <c r="G47" s="101"/>
    </row>
    <row r="48" spans="1:35" x14ac:dyDescent="0.25">
      <c r="D48" s="665">
        <f>ROUND(0.0587944891999999,2)</f>
        <v>0.06</v>
      </c>
      <c r="E48" s="564">
        <f>1+D48</f>
        <v>1.06</v>
      </c>
      <c r="G48" s="344"/>
      <c r="H48" s="344"/>
      <c r="I48" s="651"/>
    </row>
    <row r="49" spans="2:15" ht="15.75" thickBot="1" x14ac:dyDescent="0.3">
      <c r="G49" s="101"/>
    </row>
    <row r="50" spans="2:15" ht="31.5" x14ac:dyDescent="0.25">
      <c r="B50" s="493" t="s">
        <v>645</v>
      </c>
      <c r="C50" s="336" t="s">
        <v>302</v>
      </c>
      <c r="D50" s="337" t="s">
        <v>19</v>
      </c>
      <c r="E50" s="338" t="s">
        <v>303</v>
      </c>
      <c r="G50" s="580"/>
      <c r="H50" s="581"/>
      <c r="I50" s="652"/>
      <c r="J50" s="539"/>
      <c r="K50" s="218"/>
      <c r="L50" s="582"/>
      <c r="M50" s="581"/>
      <c r="N50" s="539"/>
      <c r="O50" s="539"/>
    </row>
    <row r="51" spans="2:15" x14ac:dyDescent="0.25">
      <c r="B51" s="71" t="s">
        <v>627</v>
      </c>
      <c r="C51" s="477">
        <f>'Investitii-constante'!C51*E48</f>
        <v>9740262.620000001</v>
      </c>
      <c r="D51" s="477">
        <f>'Investitii-constante'!D51*E48</f>
        <v>36801141.480000004</v>
      </c>
      <c r="E51" s="339">
        <f>C51+D51</f>
        <v>46541404.100000009</v>
      </c>
      <c r="G51" s="218"/>
      <c r="H51" s="583"/>
      <c r="I51" s="584"/>
      <c r="J51" s="585"/>
      <c r="K51" s="218"/>
      <c r="L51" s="359"/>
      <c r="M51" s="218"/>
      <c r="N51" s="218"/>
      <c r="O51" s="218"/>
    </row>
    <row r="52" spans="2:15" x14ac:dyDescent="0.25">
      <c r="B52" s="32" t="s">
        <v>628</v>
      </c>
      <c r="C52" s="477">
        <f>'Investitii-constante'!C52*E48</f>
        <v>74049643.24000001</v>
      </c>
      <c r="D52" s="477">
        <f>'Investitii-constante'!D52*E48</f>
        <v>34091669.120000005</v>
      </c>
      <c r="E52" s="339">
        <f t="shared" ref="E52:E54" si="43">C52+D52</f>
        <v>108141312.36000001</v>
      </c>
      <c r="G52" s="218"/>
      <c r="H52" s="586"/>
      <c r="I52" s="359"/>
      <c r="J52" s="585"/>
      <c r="K52" s="218"/>
      <c r="L52" s="218"/>
      <c r="M52" s="587"/>
      <c r="N52" s="587"/>
      <c r="O52" s="588"/>
    </row>
    <row r="53" spans="2:15" x14ac:dyDescent="0.25">
      <c r="B53" s="32" t="s">
        <v>629</v>
      </c>
      <c r="C53" s="477">
        <f>'Investitii-constante'!C53*E48</f>
        <v>16728972.470000001</v>
      </c>
      <c r="D53" s="477">
        <f>'Investitii-constante'!D53*E48</f>
        <v>94973171.920000002</v>
      </c>
      <c r="E53" s="339">
        <f t="shared" si="43"/>
        <v>111702144.39</v>
      </c>
      <c r="G53" s="218"/>
      <c r="H53" s="586"/>
      <c r="I53" s="359"/>
      <c r="J53" s="585"/>
      <c r="K53" s="218"/>
      <c r="L53" s="218"/>
      <c r="M53" s="587"/>
      <c r="N53" s="587"/>
      <c r="O53" s="588"/>
    </row>
    <row r="54" spans="2:15" x14ac:dyDescent="0.25">
      <c r="B54" s="32" t="s">
        <v>529</v>
      </c>
      <c r="C54" s="477">
        <f>'Investitii-constante'!C54</f>
        <v>0</v>
      </c>
      <c r="D54" s="477">
        <f>'Investitii-constante'!D54*E48</f>
        <v>2251546</v>
      </c>
      <c r="E54" s="339">
        <f t="shared" si="43"/>
        <v>2251546</v>
      </c>
      <c r="G54" s="218"/>
      <c r="H54" s="218"/>
      <c r="I54" s="218"/>
      <c r="J54" s="218"/>
      <c r="K54" s="218"/>
      <c r="L54" s="218"/>
      <c r="M54" s="218"/>
      <c r="N54" s="218"/>
      <c r="O54" s="218"/>
    </row>
    <row r="55" spans="2:15" ht="15.75" thickBot="1" x14ac:dyDescent="0.3">
      <c r="B55" s="479" t="s">
        <v>303</v>
      </c>
      <c r="C55" s="480">
        <f>SUM(C51:C54)</f>
        <v>100518878.33000001</v>
      </c>
      <c r="D55" s="480">
        <f t="shared" ref="D55" si="44">SUM(D51:D54)</f>
        <v>168117528.52000001</v>
      </c>
      <c r="E55" s="481">
        <f>SUM(E51:E54)</f>
        <v>268636406.85000002</v>
      </c>
      <c r="G55" s="653">
        <f>E55/'Investitii-constante'!E55</f>
        <v>1.06</v>
      </c>
      <c r="H55" s="589"/>
      <c r="I55" s="218"/>
      <c r="J55" s="218"/>
      <c r="K55" s="218"/>
      <c r="L55" s="218"/>
      <c r="M55" s="218"/>
      <c r="N55" s="218"/>
      <c r="O55" s="218"/>
    </row>
    <row r="56" spans="2:15" ht="15.75" thickBot="1" x14ac:dyDescent="0.3">
      <c r="G56" s="101"/>
    </row>
    <row r="57" spans="2:15" ht="16.5" thickBot="1" x14ac:dyDescent="0.3">
      <c r="B57" s="512" t="s">
        <v>338</v>
      </c>
      <c r="C57" s="226" t="s">
        <v>302</v>
      </c>
      <c r="D57" s="224" t="s">
        <v>19</v>
      </c>
      <c r="E57" s="225" t="s">
        <v>303</v>
      </c>
    </row>
    <row r="58" spans="2:15" x14ac:dyDescent="0.25">
      <c r="B58" s="572" t="s">
        <v>627</v>
      </c>
      <c r="C58" s="568">
        <f>C51/AVERAGE('prognoze cantitati'!H247:Q247)</f>
        <v>86.23127325857314</v>
      </c>
      <c r="D58" s="568">
        <f>D51/AVERAGE('prognoze cantitati'!H248:Q248)</f>
        <v>441.60133120677932</v>
      </c>
      <c r="E58" s="569">
        <f>ROUNDUP((C58+D58),2)</f>
        <v>527.84</v>
      </c>
    </row>
    <row r="59" spans="2:15" x14ac:dyDescent="0.25">
      <c r="B59" s="573" t="s">
        <v>628</v>
      </c>
      <c r="C59" s="570">
        <f>C52/AVERAGE('prognoze cantitati'!O247:Q247)</f>
        <v>560.87543934663074</v>
      </c>
      <c r="D59" s="570">
        <f>D52/AVERAGE('prognoze cantitati'!O248:Q248)</f>
        <v>349.88431281751912</v>
      </c>
      <c r="E59" s="571">
        <f>C59+D59</f>
        <v>910.75975216414986</v>
      </c>
    </row>
    <row r="60" spans="2:15" x14ac:dyDescent="0.25">
      <c r="B60" s="573" t="s">
        <v>629</v>
      </c>
      <c r="C60" s="570">
        <f>C53/AVERAGE('prognoze cantitati'!R247:U247)</f>
        <v>89.464430513671402</v>
      </c>
      <c r="D60" s="570">
        <f>D53/AVERAGE('prognoze cantitati'!R248:U248)</f>
        <v>511.45845005571516</v>
      </c>
      <c r="E60" s="571">
        <f>C60+D60</f>
        <v>600.92288056938651</v>
      </c>
    </row>
    <row r="61" spans="2:15" x14ac:dyDescent="0.25">
      <c r="B61" s="573" t="s">
        <v>529</v>
      </c>
      <c r="C61" s="570">
        <f>C54/AVERAGE('prognoze cantitati'!R248:U248)</f>
        <v>0</v>
      </c>
      <c r="D61" s="570">
        <f>D54/AVERAGE('prognoze cantitati'!V248:AB248)</f>
        <v>12.566003511244796</v>
      </c>
      <c r="E61" s="571">
        <f>C61+D61</f>
        <v>12.566003511244796</v>
      </c>
    </row>
    <row r="62" spans="2:15" ht="15.75" thickBot="1" x14ac:dyDescent="0.3">
      <c r="B62" s="574" t="s">
        <v>303</v>
      </c>
      <c r="C62" s="575">
        <f>SUM(C58:C60)</f>
        <v>736.5711431188754</v>
      </c>
      <c r="D62" s="575">
        <f>SUM(D58:D60)</f>
        <v>1302.9440940800137</v>
      </c>
      <c r="E62" s="576">
        <f>SUM(E58:E60)</f>
        <v>2039.5226327335363</v>
      </c>
      <c r="F62" s="41" t="s">
        <v>2</v>
      </c>
      <c r="G62" s="41"/>
    </row>
    <row r="63" spans="2:15" x14ac:dyDescent="0.25">
      <c r="G63" s="41"/>
    </row>
    <row r="64" spans="2:15" x14ac:dyDescent="0.25">
      <c r="C64" s="41" t="s">
        <v>2</v>
      </c>
    </row>
    <row r="65" spans="2:8" x14ac:dyDescent="0.25">
      <c r="B65" s="35" t="s">
        <v>639</v>
      </c>
    </row>
    <row r="66" spans="2:8" ht="31.5" x14ac:dyDescent="0.25">
      <c r="B66" s="546" t="s">
        <v>646</v>
      </c>
      <c r="C66" s="547" t="s">
        <v>302</v>
      </c>
      <c r="D66" s="510" t="s">
        <v>19</v>
      </c>
      <c r="E66" s="510" t="s">
        <v>303</v>
      </c>
    </row>
    <row r="67" spans="2:8" x14ac:dyDescent="0.25">
      <c r="B67" s="31" t="s">
        <v>517</v>
      </c>
      <c r="C67" s="185">
        <f>SUM(F6:O6)</f>
        <v>83789905.860000014</v>
      </c>
      <c r="D67" s="185">
        <f>SUM(F7:O7)</f>
        <v>70892810.600000009</v>
      </c>
      <c r="E67" s="185">
        <f>C67+D67</f>
        <v>154682716.46000004</v>
      </c>
      <c r="F67" s="174"/>
      <c r="G67" s="101"/>
      <c r="H67" s="183"/>
    </row>
    <row r="68" spans="2:8" x14ac:dyDescent="0.25">
      <c r="B68" s="551" t="s">
        <v>635</v>
      </c>
      <c r="C68" s="477">
        <f>SUM(F10:O10)</f>
        <v>837899.05860000034</v>
      </c>
      <c r="D68" s="477">
        <f>SUM(F11:O11)</f>
        <v>708928.10600000003</v>
      </c>
      <c r="E68" s="185">
        <f t="shared" ref="E68:E75" si="45">C68+D68</f>
        <v>1546827.1646000003</v>
      </c>
      <c r="F68" s="174"/>
      <c r="G68" s="101"/>
      <c r="H68" s="183"/>
    </row>
    <row r="69" spans="2:8" x14ac:dyDescent="0.25">
      <c r="B69" s="548" t="s">
        <v>350</v>
      </c>
      <c r="C69" s="477">
        <f>SUM(F13:O13)</f>
        <v>2094747.6465000007</v>
      </c>
      <c r="D69" s="477">
        <f>SUM(F14:O14)</f>
        <v>1772320.2650000001</v>
      </c>
      <c r="E69" s="185">
        <f t="shared" si="45"/>
        <v>3867067.9115000009</v>
      </c>
    </row>
    <row r="70" spans="2:8" x14ac:dyDescent="0.25">
      <c r="B70" s="548" t="s">
        <v>518</v>
      </c>
      <c r="C70" s="347">
        <f>SUM(F16:O16)</f>
        <v>1675798.1172000007</v>
      </c>
      <c r="D70" s="347">
        <f>SUM(F17:O17)</f>
        <v>1417856.2120000001</v>
      </c>
      <c r="E70" s="185">
        <f t="shared" si="45"/>
        <v>3093654.3292000005</v>
      </c>
    </row>
    <row r="71" spans="2:8" x14ac:dyDescent="0.25">
      <c r="B71" s="548" t="s">
        <v>351</v>
      </c>
      <c r="C71" s="347">
        <f>SUM(F19:O19)</f>
        <v>2094747.6465000007</v>
      </c>
      <c r="D71" s="347">
        <f>SUM(F20:O20)</f>
        <v>1772320.2650000001</v>
      </c>
      <c r="E71" s="185">
        <f t="shared" si="45"/>
        <v>3867067.9115000009</v>
      </c>
    </row>
    <row r="72" spans="2:8" x14ac:dyDescent="0.25">
      <c r="B72" s="548" t="s">
        <v>352</v>
      </c>
      <c r="C72" s="347">
        <f>SUM(F25:O25)</f>
        <v>502739.43516000011</v>
      </c>
      <c r="D72" s="347">
        <f>SUM(F26:O26)</f>
        <v>425356.86360000004</v>
      </c>
      <c r="E72" s="185">
        <f t="shared" si="45"/>
        <v>928096.29876000015</v>
      </c>
    </row>
    <row r="73" spans="2:8" x14ac:dyDescent="0.25">
      <c r="B73" s="548" t="s">
        <v>519</v>
      </c>
      <c r="C73" s="347">
        <f>SUM(F31:O31)</f>
        <v>712214.19981000014</v>
      </c>
      <c r="D73" s="347">
        <f>SUM(F32:O32)</f>
        <v>602588.89010000019</v>
      </c>
      <c r="E73" s="185">
        <f t="shared" si="45"/>
        <v>1314803.0899100003</v>
      </c>
      <c r="F73" s="101" t="s">
        <v>2</v>
      </c>
    </row>
    <row r="74" spans="2:8" x14ac:dyDescent="0.25">
      <c r="B74" s="548" t="s">
        <v>636</v>
      </c>
      <c r="C74" s="347">
        <f>SUM(F22:O22)</f>
        <v>837899.05860000034</v>
      </c>
      <c r="D74" s="347">
        <f>SUM(F23:O23)</f>
        <v>708928.10600000003</v>
      </c>
      <c r="E74" s="185">
        <f t="shared" si="45"/>
        <v>1546827.1646000003</v>
      </c>
      <c r="F74" s="101"/>
    </row>
    <row r="75" spans="2:8" x14ac:dyDescent="0.25">
      <c r="B75" s="548" t="s">
        <v>353</v>
      </c>
      <c r="C75" s="347">
        <f>SUM(F28:O28)</f>
        <v>9049309.8328800015</v>
      </c>
      <c r="D75" s="347">
        <f>SUM(F29:O29)</f>
        <v>7656423.5448000003</v>
      </c>
      <c r="E75" s="185">
        <f t="shared" si="45"/>
        <v>16705733.377680002</v>
      </c>
    </row>
    <row r="76" spans="2:8" x14ac:dyDescent="0.25">
      <c r="B76" s="551" t="s">
        <v>634</v>
      </c>
      <c r="C76" s="347">
        <f>SUM(F34:O34)</f>
        <v>628424.29395000008</v>
      </c>
      <c r="D76" s="347">
        <f>SUM(F35:O35)</f>
        <v>531696.07949999999</v>
      </c>
      <c r="E76" s="185">
        <f>C76+D76</f>
        <v>1160120.3734500001</v>
      </c>
    </row>
    <row r="77" spans="2:8" x14ac:dyDescent="0.25">
      <c r="B77" s="549" t="s">
        <v>303</v>
      </c>
      <c r="C77" s="550">
        <f>SUM(C67:C76)</f>
        <v>102223685.14920002</v>
      </c>
      <c r="D77" s="550">
        <f t="shared" ref="D77:E77" si="46">SUM(D67:D76)</f>
        <v>86489228.932000026</v>
      </c>
      <c r="E77" s="550">
        <f t="shared" si="46"/>
        <v>188712914.08120009</v>
      </c>
    </row>
    <row r="79" spans="2:8" x14ac:dyDescent="0.25">
      <c r="B79" s="558" t="s">
        <v>640</v>
      </c>
      <c r="E79" s="101"/>
    </row>
    <row r="81" spans="1:7" x14ac:dyDescent="0.25">
      <c r="B81" s="35" t="s">
        <v>638</v>
      </c>
    </row>
    <row r="82" spans="1:7" ht="31.5" x14ac:dyDescent="0.25">
      <c r="B82" s="546" t="s">
        <v>615</v>
      </c>
      <c r="C82" s="547" t="s">
        <v>302</v>
      </c>
      <c r="D82" s="510" t="s">
        <v>19</v>
      </c>
      <c r="E82" s="510" t="s">
        <v>303</v>
      </c>
    </row>
    <row r="83" spans="1:7" x14ac:dyDescent="0.25">
      <c r="B83" s="31" t="s">
        <v>517</v>
      </c>
      <c r="C83" s="185">
        <f>C52</f>
        <v>74049643.24000001</v>
      </c>
      <c r="D83" s="185">
        <f>D52</f>
        <v>34091669.120000005</v>
      </c>
      <c r="E83" s="185">
        <f>C83+D83</f>
        <v>108141312.36000001</v>
      </c>
    </row>
    <row r="84" spans="1:7" x14ac:dyDescent="0.25">
      <c r="B84" s="551" t="s">
        <v>635</v>
      </c>
      <c r="C84" s="477">
        <f>1%*C83</f>
        <v>740496.43240000017</v>
      </c>
      <c r="D84" s="477">
        <f>1%*D83</f>
        <v>340916.69120000006</v>
      </c>
      <c r="E84" s="185">
        <f t="shared" ref="E84:E91" si="47">C84+D84</f>
        <v>1081413.1236000003</v>
      </c>
    </row>
    <row r="85" spans="1:7" x14ac:dyDescent="0.25">
      <c r="B85" s="548" t="s">
        <v>350</v>
      </c>
      <c r="C85" s="477">
        <f>2.5%*C83</f>
        <v>1851241.0810000002</v>
      </c>
      <c r="D85" s="477">
        <f>2.5%*D83</f>
        <v>852291.72800000012</v>
      </c>
      <c r="E85" s="185">
        <f t="shared" si="47"/>
        <v>2703532.8090000004</v>
      </c>
    </row>
    <row r="86" spans="1:7" x14ac:dyDescent="0.25">
      <c r="B86" s="548" t="s">
        <v>518</v>
      </c>
      <c r="C86" s="347">
        <f>2%*C83</f>
        <v>1480992.8648000003</v>
      </c>
      <c r="D86" s="347">
        <f>2%*D83</f>
        <v>681833.38240000012</v>
      </c>
      <c r="E86" s="185">
        <f t="shared" si="47"/>
        <v>2162826.2472000006</v>
      </c>
    </row>
    <row r="87" spans="1:7" x14ac:dyDescent="0.25">
      <c r="B87" s="548" t="s">
        <v>351</v>
      </c>
      <c r="C87" s="347">
        <f>2.5%*C83</f>
        <v>1851241.0810000002</v>
      </c>
      <c r="D87" s="347">
        <f>2.5%*D83</f>
        <v>852291.72800000012</v>
      </c>
      <c r="E87" s="185">
        <f t="shared" si="47"/>
        <v>2703532.8090000004</v>
      </c>
    </row>
    <row r="88" spans="1:7" x14ac:dyDescent="0.25">
      <c r="B88" s="548" t="s">
        <v>352</v>
      </c>
      <c r="C88" s="347">
        <f>0.6%*C83</f>
        <v>444297.85944000009</v>
      </c>
      <c r="D88" s="347">
        <f>0.6%*D83</f>
        <v>204550.01472000004</v>
      </c>
      <c r="E88" s="185">
        <f t="shared" si="47"/>
        <v>648847.87416000012</v>
      </c>
    </row>
    <row r="89" spans="1:7" x14ac:dyDescent="0.25">
      <c r="B89" s="548" t="s">
        <v>519</v>
      </c>
      <c r="C89" s="347">
        <f>0.85%*C83</f>
        <v>629421.9675400001</v>
      </c>
      <c r="D89" s="347">
        <f>0.85%*D83</f>
        <v>289779.18752000004</v>
      </c>
      <c r="E89" s="185">
        <f t="shared" si="47"/>
        <v>919201.15506000014</v>
      </c>
    </row>
    <row r="90" spans="1:7" x14ac:dyDescent="0.25">
      <c r="B90" s="548" t="s">
        <v>636</v>
      </c>
      <c r="C90" s="347">
        <f>1%*C83</f>
        <v>740496.43240000017</v>
      </c>
      <c r="D90" s="347">
        <f>1%*D83</f>
        <v>340916.69120000006</v>
      </c>
      <c r="E90" s="185">
        <f t="shared" si="47"/>
        <v>1081413.1236000003</v>
      </c>
    </row>
    <row r="91" spans="1:7" x14ac:dyDescent="0.25">
      <c r="B91" s="548" t="s">
        <v>353</v>
      </c>
      <c r="C91" s="347">
        <f>10%*(C83+C84+C85+C86+C87)</f>
        <v>7997361.4699200019</v>
      </c>
      <c r="D91" s="347">
        <f>10%*(D83+D84+D85+D86+D87)</f>
        <v>3681900.2649600008</v>
      </c>
      <c r="E91" s="185">
        <f t="shared" si="47"/>
        <v>11679261.734880002</v>
      </c>
    </row>
    <row r="92" spans="1:7" x14ac:dyDescent="0.25">
      <c r="B92" s="551" t="s">
        <v>634</v>
      </c>
      <c r="C92" s="347">
        <f>0.75%*C83</f>
        <v>555372.32430000009</v>
      </c>
      <c r="D92" s="347">
        <f>0.75%*D83</f>
        <v>255687.51840000003</v>
      </c>
      <c r="E92" s="185">
        <f>C92+D92</f>
        <v>811059.84270000015</v>
      </c>
    </row>
    <row r="93" spans="1:7" x14ac:dyDescent="0.25">
      <c r="B93" s="549" t="s">
        <v>303</v>
      </c>
      <c r="C93" s="550">
        <f>SUM(C83:C92)</f>
        <v>90340564.752800032</v>
      </c>
      <c r="D93" s="550">
        <f t="shared" ref="D93:E93" si="48">SUM(D83:D92)</f>
        <v>41591836.326400004</v>
      </c>
      <c r="E93" s="550">
        <f t="shared" si="48"/>
        <v>131932401.07920003</v>
      </c>
    </row>
    <row r="95" spans="1:7" x14ac:dyDescent="0.25">
      <c r="B95" s="218"/>
      <c r="C95" s="218"/>
      <c r="D95" s="218"/>
      <c r="E95" s="218"/>
      <c r="F95" s="218"/>
      <c r="G95" s="218"/>
    </row>
    <row r="96" spans="1:7" s="496" customFormat="1" ht="15.75" hidden="1" x14ac:dyDescent="0.25">
      <c r="A96" s="172"/>
      <c r="B96" s="577" t="s">
        <v>515</v>
      </c>
      <c r="C96" s="578" t="s">
        <v>302</v>
      </c>
      <c r="D96" s="540" t="s">
        <v>19</v>
      </c>
      <c r="E96" s="541" t="s">
        <v>303</v>
      </c>
      <c r="F96" s="218"/>
      <c r="G96" s="218"/>
    </row>
    <row r="97" spans="1:9" s="496" customFormat="1" hidden="1" x14ac:dyDescent="0.25">
      <c r="A97" s="172"/>
      <c r="B97" s="31" t="s">
        <v>627</v>
      </c>
      <c r="C97" s="262">
        <f>SUM('O&amp;M costs-old'!C87:I87)</f>
        <v>0</v>
      </c>
      <c r="D97" s="263">
        <f>SUM('O&amp;M costs-old'!C112:I112)</f>
        <v>0</v>
      </c>
      <c r="E97" s="264">
        <f>C97+D97</f>
        <v>0</v>
      </c>
      <c r="F97" s="560"/>
      <c r="G97" s="559"/>
    </row>
    <row r="98" spans="1:9" s="496" customFormat="1" hidden="1" x14ac:dyDescent="0.25">
      <c r="A98" s="172"/>
      <c r="B98" s="31" t="s">
        <v>628</v>
      </c>
      <c r="C98" s="197">
        <f>SUM('O&amp;M costs-old'!J87:N87)</f>
        <v>0</v>
      </c>
      <c r="D98" s="69">
        <f>SUM('O&amp;M costs-old'!J112:N112)</f>
        <v>0</v>
      </c>
      <c r="E98" s="264">
        <f t="shared" ref="E98:E99" si="49">C98+D98</f>
        <v>0</v>
      </c>
      <c r="F98" s="562"/>
      <c r="G98" s="561"/>
    </row>
    <row r="99" spans="1:9" s="496" customFormat="1" hidden="1" x14ac:dyDescent="0.25">
      <c r="A99" s="172"/>
      <c r="B99" s="31" t="s">
        <v>629</v>
      </c>
      <c r="C99" s="197">
        <f>SUM('O&amp;M costs-old'!O87:S87)</f>
        <v>0</v>
      </c>
      <c r="D99" s="69">
        <f>SUM('O&amp;M costs-old'!O112:S112)</f>
        <v>0</v>
      </c>
      <c r="E99" s="264">
        <f t="shared" si="49"/>
        <v>0</v>
      </c>
      <c r="F99" s="218"/>
      <c r="G99" s="218"/>
    </row>
    <row r="100" spans="1:9" s="496" customFormat="1" hidden="1" x14ac:dyDescent="0.25">
      <c r="A100" s="172"/>
      <c r="B100" s="31" t="s">
        <v>529</v>
      </c>
      <c r="C100" s="31"/>
      <c r="D100" s="31"/>
      <c r="E100" s="31"/>
      <c r="F100" s="218"/>
      <c r="G100" s="218"/>
    </row>
    <row r="101" spans="1:9" s="496" customFormat="1" ht="15.75" hidden="1" thickBot="1" x14ac:dyDescent="0.3">
      <c r="A101" s="172"/>
      <c r="B101" s="501"/>
      <c r="C101" s="358"/>
      <c r="D101" s="358"/>
      <c r="E101" s="358"/>
      <c r="F101" s="218"/>
      <c r="G101" s="563"/>
      <c r="H101" s="498"/>
    </row>
    <row r="102" spans="1:9" s="496" customFormat="1" ht="16.5" hidden="1" thickBot="1" x14ac:dyDescent="0.3">
      <c r="A102" s="172"/>
      <c r="B102" s="512" t="s">
        <v>516</v>
      </c>
      <c r="C102" s="226" t="s">
        <v>302</v>
      </c>
      <c r="D102" s="224" t="s">
        <v>19</v>
      </c>
      <c r="E102" s="225" t="s">
        <v>303</v>
      </c>
      <c r="G102" s="497"/>
    </row>
    <row r="103" spans="1:9" hidden="1" x14ac:dyDescent="0.25">
      <c r="B103" s="69"/>
      <c r="C103" s="31"/>
      <c r="D103" s="31"/>
      <c r="E103" s="31"/>
      <c r="G103" s="344"/>
      <c r="H103" s="101"/>
    </row>
    <row r="104" spans="1:9" hidden="1" x14ac:dyDescent="0.25">
      <c r="B104" s="32" t="s">
        <v>528</v>
      </c>
      <c r="C104" s="82">
        <f>SUM(C95:G95)</f>
        <v>0</v>
      </c>
      <c r="D104" s="82">
        <f>SUM(C96:G96)</f>
        <v>0</v>
      </c>
      <c r="E104" s="261">
        <f>C104+D104</f>
        <v>0</v>
      </c>
      <c r="G104" s="335"/>
    </row>
    <row r="105" spans="1:9" ht="21" hidden="1" customHeight="1" x14ac:dyDescent="0.25">
      <c r="B105" s="32" t="s">
        <v>529</v>
      </c>
      <c r="C105" s="82">
        <f>SUM(H95:L95)</f>
        <v>0</v>
      </c>
      <c r="D105" s="82">
        <f>SUM(H97:L97)</f>
        <v>0</v>
      </c>
      <c r="E105" s="261">
        <f>C105+D105</f>
        <v>0</v>
      </c>
      <c r="I105" s="342"/>
    </row>
    <row r="106" spans="1:9" x14ac:dyDescent="0.25">
      <c r="G106" s="335"/>
      <c r="I106" s="345"/>
    </row>
    <row r="107" spans="1:9" x14ac:dyDescent="0.25">
      <c r="B107" s="496"/>
      <c r="C107" s="496"/>
      <c r="D107" s="496"/>
      <c r="I107" s="346"/>
    </row>
    <row r="109" spans="1:9" x14ac:dyDescent="0.25">
      <c r="B109" s="496"/>
      <c r="C109" s="496"/>
      <c r="D109" s="496"/>
    </row>
    <row r="111" spans="1:9" x14ac:dyDescent="0.25">
      <c r="B111" s="496"/>
      <c r="C111" s="496"/>
      <c r="D111" s="496"/>
    </row>
    <row r="113" spans="2:4" x14ac:dyDescent="0.25">
      <c r="B113" s="496"/>
      <c r="C113" s="496"/>
      <c r="D113" s="496"/>
    </row>
    <row r="115" spans="2:4" x14ac:dyDescent="0.25">
      <c r="B115" s="496"/>
      <c r="C115" s="496"/>
      <c r="D115" s="496"/>
    </row>
    <row r="117" spans="2:4" x14ac:dyDescent="0.25">
      <c r="B117" s="496"/>
      <c r="C117" s="496"/>
      <c r="D117" s="496"/>
    </row>
  </sheetData>
  <mergeCells count="74">
    <mergeCell ref="AF40:AF41"/>
    <mergeCell ref="AG40:AG41"/>
    <mergeCell ref="AH40:AH41"/>
    <mergeCell ref="AI40:AI41"/>
    <mergeCell ref="Z40:Z41"/>
    <mergeCell ref="AA40:AA41"/>
    <mergeCell ref="AB40:AB41"/>
    <mergeCell ref="AC40:AC41"/>
    <mergeCell ref="AD40:AD41"/>
    <mergeCell ref="AE40:AE41"/>
    <mergeCell ref="Y40:Y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M40:M41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B1:D1"/>
    <mergeCell ref="F1:O1"/>
    <mergeCell ref="M2:O2"/>
    <mergeCell ref="P2:S2"/>
    <mergeCell ref="G3:G4"/>
    <mergeCell ref="H3:H4"/>
    <mergeCell ref="I3:I4"/>
    <mergeCell ref="J3:J4"/>
    <mergeCell ref="K3:K4"/>
    <mergeCell ref="M3:M4"/>
    <mergeCell ref="N3:N4"/>
    <mergeCell ref="O3:O4"/>
    <mergeCell ref="P3:P4"/>
    <mergeCell ref="Q3:Q4"/>
    <mergeCell ref="R3:R4"/>
    <mergeCell ref="S3:S4"/>
    <mergeCell ref="T2:Z2"/>
    <mergeCell ref="B3:B4"/>
    <mergeCell ref="C3:C4"/>
    <mergeCell ref="D3:D4"/>
    <mergeCell ref="E3:E4"/>
    <mergeCell ref="F3:F4"/>
    <mergeCell ref="L3:L4"/>
    <mergeCell ref="X3:X4"/>
    <mergeCell ref="T3:T4"/>
    <mergeCell ref="U3:U4"/>
    <mergeCell ref="V3:V4"/>
    <mergeCell ref="W3:W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9FFCC"/>
  </sheetPr>
  <dimension ref="A1:AJ87"/>
  <sheetViews>
    <sheetView topLeftCell="D32" zoomScale="91" zoomScaleNormal="91" workbookViewId="0">
      <selection activeCell="H42" sqref="H42"/>
    </sheetView>
  </sheetViews>
  <sheetFormatPr defaultRowHeight="15" x14ac:dyDescent="0.25"/>
  <cols>
    <col min="1" max="1" width="9.140625" style="172"/>
    <col min="2" max="2" width="30.5703125" style="155" customWidth="1"/>
    <col min="3" max="4" width="15.140625" style="155" customWidth="1"/>
    <col min="5" max="5" width="13.140625" style="155" customWidth="1"/>
    <col min="6" max="6" width="13.42578125" style="155" customWidth="1"/>
    <col min="7" max="7" width="18" style="155" customWidth="1"/>
    <col min="8" max="8" width="11.42578125" style="155" customWidth="1"/>
    <col min="9" max="9" width="12.28515625" style="155" customWidth="1"/>
    <col min="10" max="10" width="11.140625" style="155" customWidth="1"/>
    <col min="11" max="11" width="11.42578125" style="155" customWidth="1"/>
    <col min="12" max="12" width="16" style="155" customWidth="1"/>
    <col min="13" max="13" width="12.5703125" style="155" customWidth="1"/>
    <col min="14" max="14" width="14.7109375" style="155" customWidth="1"/>
    <col min="15" max="15" width="14" style="155" customWidth="1"/>
    <col min="16" max="16" width="13.7109375" style="155" customWidth="1"/>
    <col min="17" max="17" width="13.85546875" style="155" customWidth="1"/>
    <col min="18" max="18" width="11.85546875" style="155" bestFit="1" customWidth="1"/>
    <col min="19" max="19" width="11.85546875" style="155" customWidth="1"/>
    <col min="20" max="21" width="14.140625" style="155" customWidth="1"/>
    <col min="22" max="22" width="14.5703125" style="155" customWidth="1"/>
    <col min="23" max="23" width="13.85546875" style="155" customWidth="1"/>
    <col min="24" max="24" width="15" style="155" customWidth="1"/>
    <col min="25" max="29" width="11.85546875" style="155" bestFit="1" customWidth="1"/>
    <col min="30" max="33" width="11.7109375" style="155" customWidth="1"/>
    <col min="34" max="34" width="12.42578125" style="155" customWidth="1"/>
    <col min="35" max="35" width="12.5703125" style="155" customWidth="1"/>
    <col min="36" max="16384" width="9.140625" style="155"/>
  </cols>
  <sheetData>
    <row r="1" spans="2:36" ht="18.75" x14ac:dyDescent="0.3">
      <c r="B1" s="701" t="s">
        <v>506</v>
      </c>
      <c r="C1" s="701"/>
      <c r="D1" s="701"/>
    </row>
    <row r="2" spans="2:36" s="172" customFormat="1" ht="15.75" x14ac:dyDescent="0.25">
      <c r="B2" s="173" t="s">
        <v>507</v>
      </c>
      <c r="O2" s="372" t="s">
        <v>532</v>
      </c>
      <c r="P2" s="372" t="s">
        <v>533</v>
      </c>
    </row>
    <row r="3" spans="2:36" ht="15.75" customHeight="1" x14ac:dyDescent="0.25">
      <c r="B3" s="703" t="s">
        <v>531</v>
      </c>
      <c r="C3" s="705" t="s">
        <v>272</v>
      </c>
      <c r="D3" s="700" t="s">
        <v>303</v>
      </c>
      <c r="E3" s="700">
        <v>2013</v>
      </c>
      <c r="F3" s="700">
        <f>E3+1</f>
        <v>2014</v>
      </c>
      <c r="G3" s="700">
        <f t="shared" ref="G3:AH3" si="0">F3+1</f>
        <v>2015</v>
      </c>
      <c r="H3" s="700">
        <f t="shared" si="0"/>
        <v>2016</v>
      </c>
      <c r="I3" s="700">
        <f t="shared" si="0"/>
        <v>2017</v>
      </c>
      <c r="J3" s="700">
        <f t="shared" si="0"/>
        <v>2018</v>
      </c>
      <c r="K3" s="700">
        <f t="shared" si="0"/>
        <v>2019</v>
      </c>
      <c r="L3" s="700">
        <f t="shared" si="0"/>
        <v>2020</v>
      </c>
      <c r="M3" s="700">
        <f t="shared" si="0"/>
        <v>2021</v>
      </c>
      <c r="N3" s="700">
        <f t="shared" si="0"/>
        <v>2022</v>
      </c>
      <c r="O3" s="700">
        <f t="shared" si="0"/>
        <v>2023</v>
      </c>
      <c r="P3" s="700">
        <f t="shared" si="0"/>
        <v>2024</v>
      </c>
      <c r="Q3" s="700">
        <f t="shared" si="0"/>
        <v>2025</v>
      </c>
      <c r="R3" s="700">
        <f t="shared" si="0"/>
        <v>2026</v>
      </c>
      <c r="S3" s="700">
        <f t="shared" si="0"/>
        <v>2027</v>
      </c>
      <c r="T3" s="700">
        <f t="shared" si="0"/>
        <v>2028</v>
      </c>
      <c r="U3" s="700">
        <f t="shared" si="0"/>
        <v>2029</v>
      </c>
      <c r="V3" s="700">
        <f t="shared" si="0"/>
        <v>2030</v>
      </c>
      <c r="W3" s="700">
        <f t="shared" si="0"/>
        <v>2031</v>
      </c>
      <c r="X3" s="700">
        <f t="shared" si="0"/>
        <v>2032</v>
      </c>
      <c r="Y3" s="700">
        <f t="shared" si="0"/>
        <v>2033</v>
      </c>
      <c r="Z3" s="700">
        <f t="shared" si="0"/>
        <v>2034</v>
      </c>
      <c r="AA3" s="700">
        <f t="shared" si="0"/>
        <v>2035</v>
      </c>
      <c r="AB3" s="700">
        <f t="shared" si="0"/>
        <v>2036</v>
      </c>
      <c r="AC3" s="700">
        <f t="shared" si="0"/>
        <v>2037</v>
      </c>
      <c r="AD3" s="700">
        <f t="shared" si="0"/>
        <v>2038</v>
      </c>
      <c r="AE3" s="700">
        <f t="shared" si="0"/>
        <v>2039</v>
      </c>
      <c r="AF3" s="700">
        <f t="shared" si="0"/>
        <v>2040</v>
      </c>
      <c r="AG3" s="700">
        <f t="shared" si="0"/>
        <v>2041</v>
      </c>
      <c r="AH3" s="700">
        <f t="shared" si="0"/>
        <v>2042</v>
      </c>
      <c r="AI3" s="700">
        <f>AH3+1</f>
        <v>2043</v>
      </c>
      <c r="AJ3" s="699"/>
    </row>
    <row r="4" spans="2:36" ht="15.75" customHeight="1" x14ac:dyDescent="0.25">
      <c r="B4" s="704"/>
      <c r="C4" s="705"/>
      <c r="D4" s="700"/>
      <c r="E4" s="700"/>
      <c r="F4" s="700"/>
      <c r="G4" s="700"/>
      <c r="H4" s="700"/>
      <c r="I4" s="700"/>
      <c r="J4" s="700"/>
      <c r="K4" s="700"/>
      <c r="L4" s="700"/>
      <c r="M4" s="700"/>
      <c r="N4" s="700"/>
      <c r="O4" s="700"/>
      <c r="P4" s="700"/>
      <c r="Q4" s="700"/>
      <c r="R4" s="700"/>
      <c r="S4" s="700"/>
      <c r="T4" s="700"/>
      <c r="U4" s="700"/>
      <c r="V4" s="700"/>
      <c r="W4" s="700"/>
      <c r="X4" s="700"/>
      <c r="Y4" s="700"/>
      <c r="Z4" s="700"/>
      <c r="AA4" s="700"/>
      <c r="AB4" s="700"/>
      <c r="AC4" s="700"/>
      <c r="AD4" s="700"/>
      <c r="AE4" s="700"/>
      <c r="AF4" s="700"/>
      <c r="AG4" s="700"/>
      <c r="AH4" s="700"/>
      <c r="AI4" s="700"/>
      <c r="AJ4" s="699"/>
    </row>
    <row r="5" spans="2:36" x14ac:dyDescent="0.25">
      <c r="B5" s="491" t="s">
        <v>320</v>
      </c>
      <c r="C5" s="272" t="s">
        <v>316</v>
      </c>
      <c r="D5" s="284"/>
      <c r="E5" s="272"/>
      <c r="F5" s="473"/>
      <c r="G5" s="474"/>
      <c r="H5" s="474"/>
      <c r="I5" s="474"/>
      <c r="J5" s="474"/>
      <c r="K5" s="474"/>
      <c r="L5" s="475"/>
      <c r="M5" s="473"/>
      <c r="N5" s="474"/>
      <c r="O5" s="475"/>
      <c r="P5" s="473"/>
      <c r="Q5" s="474"/>
      <c r="R5" s="474"/>
      <c r="S5" s="475"/>
      <c r="T5" s="349"/>
      <c r="U5" s="349"/>
      <c r="V5" s="349"/>
      <c r="W5" s="472"/>
      <c r="X5" s="472"/>
      <c r="Y5" s="472"/>
      <c r="Z5" s="472"/>
      <c r="AA5" s="472"/>
      <c r="AB5" s="472"/>
      <c r="AC5" s="472"/>
      <c r="AD5" s="472"/>
      <c r="AE5" s="472"/>
      <c r="AF5" s="472"/>
      <c r="AG5" s="472"/>
      <c r="AH5" s="472"/>
      <c r="AI5" s="472"/>
    </row>
    <row r="6" spans="2:36" x14ac:dyDescent="0.25">
      <c r="B6" s="272" t="s">
        <v>302</v>
      </c>
      <c r="C6" s="272" t="s">
        <v>316</v>
      </c>
      <c r="D6" s="275">
        <f>SUM(E6:AG6)</f>
        <v>83694613.750146016</v>
      </c>
      <c r="E6" s="272"/>
      <c r="F6" s="348">
        <f>$C$42*1%</f>
        <v>97291.85269261089</v>
      </c>
      <c r="G6" s="348">
        <f>$C$42*5%</f>
        <v>486459.26346305443</v>
      </c>
      <c r="H6" s="348">
        <f>$C$42*30%</f>
        <v>2918755.5807783264</v>
      </c>
      <c r="I6" s="348">
        <f>$C$42*35%</f>
        <v>3405214.8442413807</v>
      </c>
      <c r="J6" s="348">
        <f>$C$42*20%</f>
        <v>1945837.0538522177</v>
      </c>
      <c r="K6" s="348">
        <f>$C$42*5%</f>
        <v>486459.26346305443</v>
      </c>
      <c r="L6" s="276">
        <f>$C$42*4%</f>
        <v>389167.41077044356</v>
      </c>
      <c r="M6" s="276">
        <f>$C$43/7</f>
        <v>10566489.782983562</v>
      </c>
      <c r="N6" s="276">
        <f t="shared" ref="N6:S6" si="1">$C$43/7</f>
        <v>10566489.782983562</v>
      </c>
      <c r="O6" s="276">
        <f t="shared" si="1"/>
        <v>10566489.782983562</v>
      </c>
      <c r="P6" s="276">
        <f t="shared" si="1"/>
        <v>10566489.782983562</v>
      </c>
      <c r="Q6" s="276">
        <f t="shared" si="1"/>
        <v>10566489.782983562</v>
      </c>
      <c r="R6" s="276">
        <f t="shared" si="1"/>
        <v>10566489.782983562</v>
      </c>
      <c r="S6" s="276">
        <f t="shared" si="1"/>
        <v>10566489.782983562</v>
      </c>
      <c r="T6" s="276">
        <f>$C$71/5</f>
        <v>0</v>
      </c>
      <c r="U6" s="276">
        <f>$C$71/5</f>
        <v>0</v>
      </c>
      <c r="V6" s="276">
        <f>$C$71/5</f>
        <v>0</v>
      </c>
      <c r="W6" s="276">
        <v>0</v>
      </c>
      <c r="X6" s="276">
        <v>0</v>
      </c>
      <c r="Y6" s="276">
        <v>0</v>
      </c>
      <c r="Z6" s="276">
        <v>0</v>
      </c>
      <c r="AA6" s="276">
        <v>0</v>
      </c>
      <c r="AB6" s="276">
        <v>0</v>
      </c>
      <c r="AC6" s="276">
        <v>0</v>
      </c>
      <c r="AD6" s="276">
        <v>0</v>
      </c>
      <c r="AE6" s="276">
        <v>0</v>
      </c>
      <c r="AF6" s="276">
        <v>0</v>
      </c>
      <c r="AG6" s="276">
        <v>0</v>
      </c>
      <c r="AH6" s="276">
        <v>0</v>
      </c>
      <c r="AI6" s="276">
        <v>0</v>
      </c>
    </row>
    <row r="7" spans="2:36" x14ac:dyDescent="0.25">
      <c r="B7" s="273" t="s">
        <v>321</v>
      </c>
      <c r="C7" s="272" t="s">
        <v>316</v>
      </c>
      <c r="D7" s="275">
        <f>SUM(E7:AG7)</f>
        <v>165677347.39426374</v>
      </c>
      <c r="E7" s="272"/>
      <c r="F7" s="348">
        <f>$D$42*1%</f>
        <v>367592.88486125978</v>
      </c>
      <c r="G7" s="348">
        <f>$D$42*5%</f>
        <v>1837964.4243062988</v>
      </c>
      <c r="H7" s="348">
        <f>$D$42*30%</f>
        <v>11027786.545837792</v>
      </c>
      <c r="I7" s="348">
        <f>$D$42*35%</f>
        <v>12865750.970144091</v>
      </c>
      <c r="J7" s="348">
        <f>$D$42*20%</f>
        <v>7351857.6972251954</v>
      </c>
      <c r="K7" s="348">
        <f>$D$42*5%</f>
        <v>1837964.4243062988</v>
      </c>
      <c r="L7" s="276">
        <f>$D$42*4%</f>
        <v>1470371.5394450391</v>
      </c>
      <c r="M7" s="276">
        <f>$D$43/7</f>
        <v>4864699.6485021319</v>
      </c>
      <c r="N7" s="276">
        <f t="shared" ref="N7:S7" si="2">$D$43/7</f>
        <v>4864699.6485021319</v>
      </c>
      <c r="O7" s="276">
        <f t="shared" si="2"/>
        <v>4864699.6485021319</v>
      </c>
      <c r="P7" s="276">
        <f t="shared" si="2"/>
        <v>4864699.6485021319</v>
      </c>
      <c r="Q7" s="276">
        <f t="shared" si="2"/>
        <v>4864699.6485021319</v>
      </c>
      <c r="R7" s="276">
        <f t="shared" si="2"/>
        <v>4864699.6485021319</v>
      </c>
      <c r="S7" s="276">
        <f t="shared" si="2"/>
        <v>4864699.6485021319</v>
      </c>
      <c r="T7" s="276">
        <f>$D$44/7</f>
        <v>13552165.90980326</v>
      </c>
      <c r="U7" s="276">
        <f t="shared" ref="U7:Z7" si="3">$D$44/7</f>
        <v>13552165.90980326</v>
      </c>
      <c r="V7" s="276">
        <f t="shared" si="3"/>
        <v>13552165.90980326</v>
      </c>
      <c r="W7" s="276">
        <f t="shared" si="3"/>
        <v>13552165.90980326</v>
      </c>
      <c r="X7" s="276">
        <f t="shared" si="3"/>
        <v>13552165.90980326</v>
      </c>
      <c r="Y7" s="276">
        <f t="shared" si="3"/>
        <v>13552165.90980326</v>
      </c>
      <c r="Z7" s="276">
        <f t="shared" si="3"/>
        <v>13552165.90980326</v>
      </c>
      <c r="AA7" s="276">
        <v>0</v>
      </c>
      <c r="AB7" s="276">
        <v>0</v>
      </c>
      <c r="AC7" s="276">
        <v>0</v>
      </c>
      <c r="AD7" s="276">
        <v>0</v>
      </c>
      <c r="AE7" s="276">
        <v>0</v>
      </c>
      <c r="AF7" s="276">
        <v>0</v>
      </c>
      <c r="AG7" s="276">
        <v>0</v>
      </c>
      <c r="AH7" s="276">
        <v>0</v>
      </c>
      <c r="AI7" s="276">
        <v>0</v>
      </c>
    </row>
    <row r="8" spans="2:36" x14ac:dyDescent="0.25">
      <c r="B8" s="271" t="s">
        <v>349</v>
      </c>
      <c r="C8" s="272" t="s">
        <v>316</v>
      </c>
      <c r="D8" s="275">
        <f>SUM(E8:AG8)</f>
        <v>249371961.14440981</v>
      </c>
      <c r="E8" s="272"/>
      <c r="F8" s="276">
        <f>SUM(F6:F7)</f>
        <v>464884.73755387065</v>
      </c>
      <c r="G8" s="276">
        <f t="shared" ref="G8:AG8" si="4">SUM(G6:G7)</f>
        <v>2324423.6877693534</v>
      </c>
      <c r="H8" s="276">
        <f t="shared" si="4"/>
        <v>13946542.126616118</v>
      </c>
      <c r="I8" s="276">
        <f t="shared" si="4"/>
        <v>16270965.814385472</v>
      </c>
      <c r="J8" s="276">
        <f t="shared" si="4"/>
        <v>9297694.7510774136</v>
      </c>
      <c r="K8" s="276">
        <f t="shared" si="4"/>
        <v>2324423.6877693534</v>
      </c>
      <c r="L8" s="276">
        <f t="shared" si="4"/>
        <v>1859538.9502154826</v>
      </c>
      <c r="M8" s="276">
        <f t="shared" si="4"/>
        <v>15431189.431485694</v>
      </c>
      <c r="N8" s="276">
        <f t="shared" si="4"/>
        <v>15431189.431485694</v>
      </c>
      <c r="O8" s="276">
        <f t="shared" si="4"/>
        <v>15431189.431485694</v>
      </c>
      <c r="P8" s="276">
        <f t="shared" si="4"/>
        <v>15431189.431485694</v>
      </c>
      <c r="Q8" s="276">
        <f t="shared" si="4"/>
        <v>15431189.431485694</v>
      </c>
      <c r="R8" s="276">
        <f t="shared" si="4"/>
        <v>15431189.431485694</v>
      </c>
      <c r="S8" s="276">
        <f t="shared" si="4"/>
        <v>15431189.431485694</v>
      </c>
      <c r="T8" s="276">
        <f t="shared" si="4"/>
        <v>13552165.90980326</v>
      </c>
      <c r="U8" s="276">
        <f t="shared" si="4"/>
        <v>13552165.90980326</v>
      </c>
      <c r="V8" s="276">
        <f t="shared" si="4"/>
        <v>13552165.90980326</v>
      </c>
      <c r="W8" s="276">
        <f t="shared" si="4"/>
        <v>13552165.90980326</v>
      </c>
      <c r="X8" s="276">
        <f t="shared" si="4"/>
        <v>13552165.90980326</v>
      </c>
      <c r="Y8" s="276">
        <f t="shared" si="4"/>
        <v>13552165.90980326</v>
      </c>
      <c r="Z8" s="276">
        <f t="shared" si="4"/>
        <v>13552165.90980326</v>
      </c>
      <c r="AA8" s="276">
        <f t="shared" si="4"/>
        <v>0</v>
      </c>
      <c r="AB8" s="276">
        <f t="shared" si="4"/>
        <v>0</v>
      </c>
      <c r="AC8" s="276">
        <f t="shared" si="4"/>
        <v>0</v>
      </c>
      <c r="AD8" s="276">
        <f t="shared" si="4"/>
        <v>0</v>
      </c>
      <c r="AE8" s="276">
        <f t="shared" si="4"/>
        <v>0</v>
      </c>
      <c r="AF8" s="276">
        <f t="shared" si="4"/>
        <v>0</v>
      </c>
      <c r="AG8" s="276">
        <f t="shared" si="4"/>
        <v>0</v>
      </c>
      <c r="AH8" s="276">
        <f t="shared" ref="AH8:AI8" si="5">SUM(AH6:AH7)</f>
        <v>0</v>
      </c>
      <c r="AI8" s="276">
        <f t="shared" si="5"/>
        <v>0</v>
      </c>
    </row>
    <row r="9" spans="2:36" x14ac:dyDescent="0.25">
      <c r="B9" s="271" t="s">
        <v>350</v>
      </c>
      <c r="C9" s="272" t="s">
        <v>316</v>
      </c>
      <c r="D9" s="277">
        <f t="shared" ref="D9:D29" si="6">SUM(E9:AG9)</f>
        <v>6234299.0286102425</v>
      </c>
      <c r="E9" s="272"/>
      <c r="F9" s="278">
        <f>SUM(F10:F11)</f>
        <v>11622.118438846768</v>
      </c>
      <c r="G9" s="278">
        <f t="shared" ref="G9:AG9" si="7">SUM(G10:G11)</f>
        <v>58110.592194233832</v>
      </c>
      <c r="H9" s="278">
        <f t="shared" si="7"/>
        <v>348663.55316540296</v>
      </c>
      <c r="I9" s="278">
        <f t="shared" si="7"/>
        <v>406774.14535963687</v>
      </c>
      <c r="J9" s="278">
        <f t="shared" si="7"/>
        <v>232442.36877693533</v>
      </c>
      <c r="K9" s="278">
        <f t="shared" si="7"/>
        <v>58110.592194233832</v>
      </c>
      <c r="L9" s="278">
        <f t="shared" si="7"/>
        <v>46488.473755387073</v>
      </c>
      <c r="M9" s="278">
        <f t="shared" si="7"/>
        <v>385779.73578714236</v>
      </c>
      <c r="N9" s="278">
        <f t="shared" si="7"/>
        <v>385779.73578714236</v>
      </c>
      <c r="O9" s="278">
        <f t="shared" si="7"/>
        <v>385779.73578714236</v>
      </c>
      <c r="P9" s="278">
        <f t="shared" si="7"/>
        <v>385779.73578714236</v>
      </c>
      <c r="Q9" s="278">
        <f t="shared" si="7"/>
        <v>385779.73578714236</v>
      </c>
      <c r="R9" s="278">
        <f t="shared" si="7"/>
        <v>385779.73578714236</v>
      </c>
      <c r="S9" s="278">
        <f t="shared" si="7"/>
        <v>385779.73578714236</v>
      </c>
      <c r="T9" s="278">
        <f t="shared" si="7"/>
        <v>338804.14774508151</v>
      </c>
      <c r="U9" s="278">
        <f t="shared" si="7"/>
        <v>338804.14774508151</v>
      </c>
      <c r="V9" s="278">
        <f t="shared" si="7"/>
        <v>338804.14774508151</v>
      </c>
      <c r="W9" s="278">
        <f t="shared" si="7"/>
        <v>338804.14774508151</v>
      </c>
      <c r="X9" s="278">
        <f t="shared" si="7"/>
        <v>338804.14774508151</v>
      </c>
      <c r="Y9" s="278">
        <f t="shared" si="7"/>
        <v>338804.14774508151</v>
      </c>
      <c r="Z9" s="278">
        <f t="shared" si="7"/>
        <v>338804.14774508151</v>
      </c>
      <c r="AA9" s="278">
        <f t="shared" si="7"/>
        <v>0</v>
      </c>
      <c r="AB9" s="278">
        <f t="shared" si="7"/>
        <v>0</v>
      </c>
      <c r="AC9" s="278">
        <f t="shared" si="7"/>
        <v>0</v>
      </c>
      <c r="AD9" s="278">
        <f t="shared" si="7"/>
        <v>0</v>
      </c>
      <c r="AE9" s="278">
        <f t="shared" si="7"/>
        <v>0</v>
      </c>
      <c r="AF9" s="278">
        <f t="shared" si="7"/>
        <v>0</v>
      </c>
      <c r="AG9" s="278">
        <f t="shared" si="7"/>
        <v>0</v>
      </c>
      <c r="AH9" s="278">
        <f t="shared" ref="AH9:AI9" si="8">SUM(AH10:AH11)</f>
        <v>0</v>
      </c>
      <c r="AI9" s="278">
        <f t="shared" si="8"/>
        <v>0</v>
      </c>
    </row>
    <row r="10" spans="2:36" x14ac:dyDescent="0.25">
      <c r="B10" s="272" t="s">
        <v>302</v>
      </c>
      <c r="C10" s="272" t="s">
        <v>316</v>
      </c>
      <c r="D10" s="275">
        <f t="shared" si="6"/>
        <v>2092365.3437536508</v>
      </c>
      <c r="E10" s="272"/>
      <c r="F10" s="276">
        <f>2.5%*F6</f>
        <v>2432.2963173152725</v>
      </c>
      <c r="G10" s="276">
        <f t="shared" ref="G10:Z10" si="9">2.5%*G6</f>
        <v>12161.481586576361</v>
      </c>
      <c r="H10" s="276">
        <f t="shared" si="9"/>
        <v>72968.889519458156</v>
      </c>
      <c r="I10" s="276">
        <f t="shared" si="9"/>
        <v>85130.371106034523</v>
      </c>
      <c r="J10" s="276">
        <f t="shared" si="9"/>
        <v>48645.926346305445</v>
      </c>
      <c r="K10" s="276">
        <f t="shared" si="9"/>
        <v>12161.481586576361</v>
      </c>
      <c r="L10" s="276">
        <f t="shared" si="9"/>
        <v>9729.1852692610901</v>
      </c>
      <c r="M10" s="276">
        <f t="shared" si="9"/>
        <v>264162.24457458907</v>
      </c>
      <c r="N10" s="276">
        <f t="shared" si="9"/>
        <v>264162.24457458907</v>
      </c>
      <c r="O10" s="276">
        <f t="shared" si="9"/>
        <v>264162.24457458907</v>
      </c>
      <c r="P10" s="276">
        <f t="shared" si="9"/>
        <v>264162.24457458907</v>
      </c>
      <c r="Q10" s="276">
        <f t="shared" si="9"/>
        <v>264162.24457458907</v>
      </c>
      <c r="R10" s="276">
        <f t="shared" si="9"/>
        <v>264162.24457458907</v>
      </c>
      <c r="S10" s="276">
        <f t="shared" si="9"/>
        <v>264162.24457458907</v>
      </c>
      <c r="T10" s="276">
        <f t="shared" si="9"/>
        <v>0</v>
      </c>
      <c r="U10" s="276">
        <f t="shared" si="9"/>
        <v>0</v>
      </c>
      <c r="V10" s="276">
        <f t="shared" si="9"/>
        <v>0</v>
      </c>
      <c r="W10" s="276">
        <f t="shared" si="9"/>
        <v>0</v>
      </c>
      <c r="X10" s="276">
        <f t="shared" si="9"/>
        <v>0</v>
      </c>
      <c r="Y10" s="276">
        <f t="shared" si="9"/>
        <v>0</v>
      </c>
      <c r="Z10" s="276">
        <f t="shared" si="9"/>
        <v>0</v>
      </c>
      <c r="AA10" s="276">
        <f t="shared" ref="AA10:AI10" si="10">2.5%*AA6</f>
        <v>0</v>
      </c>
      <c r="AB10" s="276">
        <f t="shared" si="10"/>
        <v>0</v>
      </c>
      <c r="AC10" s="276">
        <f t="shared" si="10"/>
        <v>0</v>
      </c>
      <c r="AD10" s="276">
        <f t="shared" si="10"/>
        <v>0</v>
      </c>
      <c r="AE10" s="276">
        <f t="shared" si="10"/>
        <v>0</v>
      </c>
      <c r="AF10" s="276">
        <f t="shared" si="10"/>
        <v>0</v>
      </c>
      <c r="AG10" s="276">
        <f t="shared" si="10"/>
        <v>0</v>
      </c>
      <c r="AH10" s="276">
        <f t="shared" si="10"/>
        <v>0</v>
      </c>
      <c r="AI10" s="276">
        <f t="shared" si="10"/>
        <v>0</v>
      </c>
    </row>
    <row r="11" spans="2:36" x14ac:dyDescent="0.25">
      <c r="B11" s="273" t="s">
        <v>321</v>
      </c>
      <c r="C11" s="272" t="s">
        <v>316</v>
      </c>
      <c r="D11" s="275">
        <f t="shared" si="6"/>
        <v>4141933.6848565945</v>
      </c>
      <c r="E11" s="272"/>
      <c r="F11" s="276">
        <f>2.5%*F7</f>
        <v>9189.8221215314952</v>
      </c>
      <c r="G11" s="276">
        <f t="shared" ref="G11:Z11" si="11">2.5%*G7</f>
        <v>45949.110607657472</v>
      </c>
      <c r="H11" s="276">
        <f t="shared" si="11"/>
        <v>275694.66364594479</v>
      </c>
      <c r="I11" s="276">
        <f t="shared" si="11"/>
        <v>321643.77425360231</v>
      </c>
      <c r="J11" s="276">
        <f t="shared" si="11"/>
        <v>183796.44243062989</v>
      </c>
      <c r="K11" s="276">
        <f t="shared" si="11"/>
        <v>45949.110607657472</v>
      </c>
      <c r="L11" s="276">
        <f t="shared" si="11"/>
        <v>36759.288486125981</v>
      </c>
      <c r="M11" s="276">
        <f t="shared" si="11"/>
        <v>121617.4912125533</v>
      </c>
      <c r="N11" s="276">
        <f t="shared" si="11"/>
        <v>121617.4912125533</v>
      </c>
      <c r="O11" s="276">
        <f t="shared" si="11"/>
        <v>121617.4912125533</v>
      </c>
      <c r="P11" s="276">
        <f t="shared" si="11"/>
        <v>121617.4912125533</v>
      </c>
      <c r="Q11" s="276">
        <f t="shared" si="11"/>
        <v>121617.4912125533</v>
      </c>
      <c r="R11" s="276">
        <f t="shared" si="11"/>
        <v>121617.4912125533</v>
      </c>
      <c r="S11" s="276">
        <f t="shared" si="11"/>
        <v>121617.4912125533</v>
      </c>
      <c r="T11" s="276">
        <f t="shared" si="11"/>
        <v>338804.14774508151</v>
      </c>
      <c r="U11" s="276">
        <f t="shared" si="11"/>
        <v>338804.14774508151</v>
      </c>
      <c r="V11" s="276">
        <f t="shared" si="11"/>
        <v>338804.14774508151</v>
      </c>
      <c r="W11" s="276">
        <f t="shared" si="11"/>
        <v>338804.14774508151</v>
      </c>
      <c r="X11" s="276">
        <f t="shared" si="11"/>
        <v>338804.14774508151</v>
      </c>
      <c r="Y11" s="276">
        <f t="shared" si="11"/>
        <v>338804.14774508151</v>
      </c>
      <c r="Z11" s="276">
        <f t="shared" si="11"/>
        <v>338804.14774508151</v>
      </c>
      <c r="AA11" s="276">
        <f t="shared" ref="AA11:AI11" si="12">2.5%*AA7</f>
        <v>0</v>
      </c>
      <c r="AB11" s="276">
        <f t="shared" si="12"/>
        <v>0</v>
      </c>
      <c r="AC11" s="276">
        <f t="shared" si="12"/>
        <v>0</v>
      </c>
      <c r="AD11" s="276">
        <f t="shared" si="12"/>
        <v>0</v>
      </c>
      <c r="AE11" s="276">
        <f t="shared" si="12"/>
        <v>0</v>
      </c>
      <c r="AF11" s="276">
        <f t="shared" si="12"/>
        <v>0</v>
      </c>
      <c r="AG11" s="276">
        <f t="shared" si="12"/>
        <v>0</v>
      </c>
      <c r="AH11" s="276">
        <f t="shared" si="12"/>
        <v>0</v>
      </c>
      <c r="AI11" s="276">
        <f t="shared" si="12"/>
        <v>0</v>
      </c>
    </row>
    <row r="12" spans="2:36" ht="24" customHeight="1" x14ac:dyDescent="0.25">
      <c r="B12" s="290" t="s">
        <v>525</v>
      </c>
      <c r="C12" s="272" t="s">
        <v>316</v>
      </c>
      <c r="D12" s="277">
        <f t="shared" si="6"/>
        <v>4987439.222888194</v>
      </c>
      <c r="E12" s="272"/>
      <c r="F12" s="278">
        <f>SUM(F13:F14)</f>
        <v>9297.6947510774135</v>
      </c>
      <c r="G12" s="278">
        <f t="shared" ref="G12:AG12" si="13">SUM(G13:G14)</f>
        <v>46488.473755387065</v>
      </c>
      <c r="H12" s="278">
        <f t="shared" si="13"/>
        <v>278930.84253232233</v>
      </c>
      <c r="I12" s="278">
        <f t="shared" si="13"/>
        <v>325419.31628770946</v>
      </c>
      <c r="J12" s="278">
        <f t="shared" si="13"/>
        <v>185953.89502154826</v>
      </c>
      <c r="K12" s="278">
        <f t="shared" si="13"/>
        <v>46488.473755387065</v>
      </c>
      <c r="L12" s="278">
        <f t="shared" si="13"/>
        <v>37190.779004309654</v>
      </c>
      <c r="M12" s="278">
        <f t="shared" si="13"/>
        <v>308623.78862971388</v>
      </c>
      <c r="N12" s="278">
        <f t="shared" si="13"/>
        <v>308623.78862971388</v>
      </c>
      <c r="O12" s="278">
        <f t="shared" si="13"/>
        <v>308623.78862971388</v>
      </c>
      <c r="P12" s="278">
        <f t="shared" si="13"/>
        <v>308623.78862971388</v>
      </c>
      <c r="Q12" s="278">
        <f t="shared" si="13"/>
        <v>308623.78862971388</v>
      </c>
      <c r="R12" s="278">
        <f t="shared" si="13"/>
        <v>308623.78862971388</v>
      </c>
      <c r="S12" s="278">
        <f t="shared" si="13"/>
        <v>308623.78862971388</v>
      </c>
      <c r="T12" s="278">
        <f t="shared" si="13"/>
        <v>271043.3181960652</v>
      </c>
      <c r="U12" s="278">
        <f t="shared" si="13"/>
        <v>271043.3181960652</v>
      </c>
      <c r="V12" s="278">
        <f t="shared" si="13"/>
        <v>271043.3181960652</v>
      </c>
      <c r="W12" s="278">
        <f t="shared" si="13"/>
        <v>271043.3181960652</v>
      </c>
      <c r="X12" s="278">
        <f t="shared" si="13"/>
        <v>271043.3181960652</v>
      </c>
      <c r="Y12" s="278">
        <f t="shared" si="13"/>
        <v>271043.3181960652</v>
      </c>
      <c r="Z12" s="278">
        <f t="shared" si="13"/>
        <v>271043.3181960652</v>
      </c>
      <c r="AA12" s="278">
        <f t="shared" si="13"/>
        <v>0</v>
      </c>
      <c r="AB12" s="278">
        <f t="shared" si="13"/>
        <v>0</v>
      </c>
      <c r="AC12" s="278">
        <f t="shared" si="13"/>
        <v>0</v>
      </c>
      <c r="AD12" s="278">
        <f t="shared" si="13"/>
        <v>0</v>
      </c>
      <c r="AE12" s="278">
        <f t="shared" si="13"/>
        <v>0</v>
      </c>
      <c r="AF12" s="278">
        <f t="shared" si="13"/>
        <v>0</v>
      </c>
      <c r="AG12" s="278">
        <f t="shared" si="13"/>
        <v>0</v>
      </c>
      <c r="AH12" s="278">
        <f t="shared" ref="AH12:AI12" si="14">SUM(AH13:AH14)</f>
        <v>0</v>
      </c>
      <c r="AI12" s="278">
        <f t="shared" si="14"/>
        <v>0</v>
      </c>
    </row>
    <row r="13" spans="2:36" x14ac:dyDescent="0.25">
      <c r="B13" s="272" t="s">
        <v>302</v>
      </c>
      <c r="C13" s="272" t="s">
        <v>316</v>
      </c>
      <c r="D13" s="275">
        <f t="shared" si="6"/>
        <v>1673892.2750029208</v>
      </c>
      <c r="E13" s="272"/>
      <c r="F13" s="276">
        <f>2%*F6</f>
        <v>1945.8370538522179</v>
      </c>
      <c r="G13" s="276">
        <f t="shared" ref="G13:AG14" si="15">2%*G6</f>
        <v>9729.1852692610883</v>
      </c>
      <c r="H13" s="276">
        <f t="shared" si="15"/>
        <v>58375.11161556653</v>
      </c>
      <c r="I13" s="276">
        <f t="shared" si="15"/>
        <v>68104.296884827621</v>
      </c>
      <c r="J13" s="276">
        <f t="shared" si="15"/>
        <v>38916.741077044353</v>
      </c>
      <c r="K13" s="276">
        <f t="shared" si="15"/>
        <v>9729.1852692610883</v>
      </c>
      <c r="L13" s="276">
        <f t="shared" si="15"/>
        <v>7783.3482154088715</v>
      </c>
      <c r="M13" s="276">
        <f t="shared" si="15"/>
        <v>211329.79565967125</v>
      </c>
      <c r="N13" s="276">
        <f t="shared" si="15"/>
        <v>211329.79565967125</v>
      </c>
      <c r="O13" s="276">
        <f t="shared" si="15"/>
        <v>211329.79565967125</v>
      </c>
      <c r="P13" s="276">
        <f t="shared" si="15"/>
        <v>211329.79565967125</v>
      </c>
      <c r="Q13" s="276">
        <f t="shared" si="15"/>
        <v>211329.79565967125</v>
      </c>
      <c r="R13" s="276">
        <f t="shared" si="15"/>
        <v>211329.79565967125</v>
      </c>
      <c r="S13" s="276">
        <f t="shared" si="15"/>
        <v>211329.79565967125</v>
      </c>
      <c r="T13" s="276">
        <f t="shared" si="15"/>
        <v>0</v>
      </c>
      <c r="U13" s="276">
        <f t="shared" si="15"/>
        <v>0</v>
      </c>
      <c r="V13" s="276">
        <f t="shared" si="15"/>
        <v>0</v>
      </c>
      <c r="W13" s="276">
        <f t="shared" si="15"/>
        <v>0</v>
      </c>
      <c r="X13" s="276">
        <f t="shared" si="15"/>
        <v>0</v>
      </c>
      <c r="Y13" s="276">
        <f t="shared" si="15"/>
        <v>0</v>
      </c>
      <c r="Z13" s="276">
        <f t="shared" si="15"/>
        <v>0</v>
      </c>
      <c r="AA13" s="276">
        <f t="shared" si="15"/>
        <v>0</v>
      </c>
      <c r="AB13" s="276">
        <f t="shared" si="15"/>
        <v>0</v>
      </c>
      <c r="AC13" s="276">
        <f t="shared" si="15"/>
        <v>0</v>
      </c>
      <c r="AD13" s="276">
        <f t="shared" si="15"/>
        <v>0</v>
      </c>
      <c r="AE13" s="276">
        <f t="shared" si="15"/>
        <v>0</v>
      </c>
      <c r="AF13" s="276">
        <f t="shared" si="15"/>
        <v>0</v>
      </c>
      <c r="AG13" s="276">
        <f t="shared" si="15"/>
        <v>0</v>
      </c>
      <c r="AH13" s="276">
        <f t="shared" ref="AH13:AI13" si="16">2%*AH6</f>
        <v>0</v>
      </c>
      <c r="AI13" s="276">
        <f t="shared" si="16"/>
        <v>0</v>
      </c>
    </row>
    <row r="14" spans="2:36" x14ac:dyDescent="0.25">
      <c r="B14" s="273" t="s">
        <v>321</v>
      </c>
      <c r="C14" s="272" t="s">
        <v>316</v>
      </c>
      <c r="D14" s="275">
        <f t="shared" si="6"/>
        <v>3313546.9478852749</v>
      </c>
      <c r="E14" s="272"/>
      <c r="F14" s="276">
        <f>2%*F7</f>
        <v>7351.8576972251958</v>
      </c>
      <c r="G14" s="276">
        <f t="shared" si="15"/>
        <v>36759.288486125981</v>
      </c>
      <c r="H14" s="276">
        <f t="shared" si="15"/>
        <v>220555.73091675583</v>
      </c>
      <c r="I14" s="276">
        <f t="shared" si="15"/>
        <v>257315.01940288182</v>
      </c>
      <c r="J14" s="276">
        <f t="shared" si="15"/>
        <v>147037.15394450392</v>
      </c>
      <c r="K14" s="276">
        <f t="shared" si="15"/>
        <v>36759.288486125981</v>
      </c>
      <c r="L14" s="276">
        <f t="shared" si="15"/>
        <v>29407.430788900783</v>
      </c>
      <c r="M14" s="276">
        <f t="shared" si="15"/>
        <v>97293.992970042644</v>
      </c>
      <c r="N14" s="276">
        <f t="shared" si="15"/>
        <v>97293.992970042644</v>
      </c>
      <c r="O14" s="276">
        <f t="shared" si="15"/>
        <v>97293.992970042644</v>
      </c>
      <c r="P14" s="276">
        <f t="shared" si="15"/>
        <v>97293.992970042644</v>
      </c>
      <c r="Q14" s="276">
        <f t="shared" si="15"/>
        <v>97293.992970042644</v>
      </c>
      <c r="R14" s="276">
        <f t="shared" si="15"/>
        <v>97293.992970042644</v>
      </c>
      <c r="S14" s="276">
        <f t="shared" si="15"/>
        <v>97293.992970042644</v>
      </c>
      <c r="T14" s="276">
        <f t="shared" si="15"/>
        <v>271043.3181960652</v>
      </c>
      <c r="U14" s="276">
        <f t="shared" si="15"/>
        <v>271043.3181960652</v>
      </c>
      <c r="V14" s="276">
        <f t="shared" si="15"/>
        <v>271043.3181960652</v>
      </c>
      <c r="W14" s="276">
        <f t="shared" si="15"/>
        <v>271043.3181960652</v>
      </c>
      <c r="X14" s="276">
        <f t="shared" si="15"/>
        <v>271043.3181960652</v>
      </c>
      <c r="Y14" s="276">
        <f t="shared" si="15"/>
        <v>271043.3181960652</v>
      </c>
      <c r="Z14" s="276">
        <f t="shared" si="15"/>
        <v>271043.3181960652</v>
      </c>
      <c r="AA14" s="276">
        <f t="shared" si="15"/>
        <v>0</v>
      </c>
      <c r="AB14" s="276">
        <f t="shared" si="15"/>
        <v>0</v>
      </c>
      <c r="AC14" s="276">
        <f t="shared" si="15"/>
        <v>0</v>
      </c>
      <c r="AD14" s="276">
        <f t="shared" si="15"/>
        <v>0</v>
      </c>
      <c r="AE14" s="276">
        <f t="shared" si="15"/>
        <v>0</v>
      </c>
      <c r="AF14" s="276">
        <f t="shared" si="15"/>
        <v>0</v>
      </c>
      <c r="AG14" s="276">
        <f t="shared" si="15"/>
        <v>0</v>
      </c>
      <c r="AH14" s="276">
        <f t="shared" ref="AH14:AI14" si="17">2%*AH7</f>
        <v>0</v>
      </c>
      <c r="AI14" s="276">
        <f t="shared" si="17"/>
        <v>0</v>
      </c>
    </row>
    <row r="15" spans="2:36" x14ac:dyDescent="0.25">
      <c r="B15" s="271" t="s">
        <v>351</v>
      </c>
      <c r="C15" s="272" t="s">
        <v>316</v>
      </c>
      <c r="D15" s="277">
        <f t="shared" si="6"/>
        <v>7589515.6195905712</v>
      </c>
      <c r="E15" s="272"/>
      <c r="F15" s="278">
        <f t="shared" ref="F15:AG15" si="18">SUM(F16:F17)</f>
        <v>11622.118438846768</v>
      </c>
      <c r="G15" s="278">
        <f t="shared" si="18"/>
        <v>58110.592194233832</v>
      </c>
      <c r="H15" s="278">
        <f t="shared" si="18"/>
        <v>348663.55316540296</v>
      </c>
      <c r="I15" s="278">
        <f t="shared" si="18"/>
        <v>406774.14535963687</v>
      </c>
      <c r="J15" s="278">
        <f t="shared" si="18"/>
        <v>232442.36877693533</v>
      </c>
      <c r="K15" s="278">
        <f t="shared" si="18"/>
        <v>58110.592194233832</v>
      </c>
      <c r="L15" s="278">
        <f t="shared" si="18"/>
        <v>46488.473755387073</v>
      </c>
      <c r="M15" s="278">
        <f t="shared" si="18"/>
        <v>385779.73578714236</v>
      </c>
      <c r="N15" s="278">
        <f t="shared" si="18"/>
        <v>385779.73578714236</v>
      </c>
      <c r="O15" s="278">
        <f t="shared" si="18"/>
        <v>385779.73578714236</v>
      </c>
      <c r="P15" s="278">
        <f t="shared" si="18"/>
        <v>385779.73578714236</v>
      </c>
      <c r="Q15" s="278">
        <f t="shared" si="18"/>
        <v>385779.73578714236</v>
      </c>
      <c r="R15" s="278">
        <f t="shared" si="18"/>
        <v>385779.73578714236</v>
      </c>
      <c r="S15" s="278">
        <f t="shared" si="18"/>
        <v>385779.73578714236</v>
      </c>
      <c r="T15" s="278">
        <f t="shared" si="18"/>
        <v>338804.14774508151</v>
      </c>
      <c r="U15" s="278">
        <f t="shared" si="18"/>
        <v>338804.14774508151</v>
      </c>
      <c r="V15" s="278">
        <f t="shared" si="18"/>
        <v>338804.14774508151</v>
      </c>
      <c r="W15" s="278">
        <f t="shared" si="18"/>
        <v>677608.29549016303</v>
      </c>
      <c r="X15" s="278">
        <f t="shared" si="18"/>
        <v>677608.29549016303</v>
      </c>
      <c r="Y15" s="278">
        <f t="shared" si="18"/>
        <v>677608.29549016303</v>
      </c>
      <c r="Z15" s="278">
        <f t="shared" si="18"/>
        <v>677608.29549016303</v>
      </c>
      <c r="AA15" s="278">
        <f t="shared" si="18"/>
        <v>0</v>
      </c>
      <c r="AB15" s="278">
        <f t="shared" si="18"/>
        <v>0</v>
      </c>
      <c r="AC15" s="278">
        <f t="shared" si="18"/>
        <v>0</v>
      </c>
      <c r="AD15" s="278">
        <f t="shared" si="18"/>
        <v>0</v>
      </c>
      <c r="AE15" s="278">
        <f t="shared" si="18"/>
        <v>0</v>
      </c>
      <c r="AF15" s="278">
        <f t="shared" si="18"/>
        <v>0</v>
      </c>
      <c r="AG15" s="278">
        <f t="shared" si="18"/>
        <v>0</v>
      </c>
      <c r="AH15" s="278">
        <f t="shared" ref="AH15:AI15" si="19">SUM(AH16:AH17)</f>
        <v>0</v>
      </c>
      <c r="AI15" s="278">
        <f t="shared" si="19"/>
        <v>0</v>
      </c>
    </row>
    <row r="16" spans="2:36" x14ac:dyDescent="0.25">
      <c r="B16" s="272" t="s">
        <v>302</v>
      </c>
      <c r="C16" s="272" t="s">
        <v>316</v>
      </c>
      <c r="D16" s="275">
        <f t="shared" si="6"/>
        <v>2092365.3437536508</v>
      </c>
      <c r="E16" s="272"/>
      <c r="F16" s="276">
        <f>2.5%*F6</f>
        <v>2432.2963173152725</v>
      </c>
      <c r="G16" s="276">
        <f t="shared" ref="G16:K16" si="20">2.5%*G6</f>
        <v>12161.481586576361</v>
      </c>
      <c r="H16" s="276">
        <f t="shared" si="20"/>
        <v>72968.889519458156</v>
      </c>
      <c r="I16" s="276">
        <f t="shared" si="20"/>
        <v>85130.371106034523</v>
      </c>
      <c r="J16" s="276">
        <f t="shared" si="20"/>
        <v>48645.926346305445</v>
      </c>
      <c r="K16" s="276">
        <f t="shared" si="20"/>
        <v>12161.481586576361</v>
      </c>
      <c r="L16" s="276">
        <f t="shared" ref="L16:V16" si="21">2.5%*L6</f>
        <v>9729.1852692610901</v>
      </c>
      <c r="M16" s="276">
        <f t="shared" si="21"/>
        <v>264162.24457458907</v>
      </c>
      <c r="N16" s="276">
        <f t="shared" si="21"/>
        <v>264162.24457458907</v>
      </c>
      <c r="O16" s="276">
        <f t="shared" si="21"/>
        <v>264162.24457458907</v>
      </c>
      <c r="P16" s="276">
        <f t="shared" si="21"/>
        <v>264162.24457458907</v>
      </c>
      <c r="Q16" s="276">
        <f t="shared" si="21"/>
        <v>264162.24457458907</v>
      </c>
      <c r="R16" s="276">
        <f t="shared" si="21"/>
        <v>264162.24457458907</v>
      </c>
      <c r="S16" s="276">
        <f t="shared" si="21"/>
        <v>264162.24457458907</v>
      </c>
      <c r="T16" s="276">
        <f t="shared" si="21"/>
        <v>0</v>
      </c>
      <c r="U16" s="276">
        <f t="shared" si="21"/>
        <v>0</v>
      </c>
      <c r="V16" s="276">
        <f t="shared" si="21"/>
        <v>0</v>
      </c>
      <c r="W16" s="276">
        <f t="shared" ref="W16:AG17" si="22">5%*W6</f>
        <v>0</v>
      </c>
      <c r="X16" s="276">
        <f t="shared" si="22"/>
        <v>0</v>
      </c>
      <c r="Y16" s="276">
        <f t="shared" si="22"/>
        <v>0</v>
      </c>
      <c r="Z16" s="276">
        <f t="shared" si="22"/>
        <v>0</v>
      </c>
      <c r="AA16" s="276">
        <f t="shared" si="22"/>
        <v>0</v>
      </c>
      <c r="AB16" s="276">
        <f t="shared" si="22"/>
        <v>0</v>
      </c>
      <c r="AC16" s="276">
        <f t="shared" si="22"/>
        <v>0</v>
      </c>
      <c r="AD16" s="276">
        <f t="shared" si="22"/>
        <v>0</v>
      </c>
      <c r="AE16" s="276">
        <f t="shared" si="22"/>
        <v>0</v>
      </c>
      <c r="AF16" s="276">
        <f t="shared" si="22"/>
        <v>0</v>
      </c>
      <c r="AG16" s="276">
        <f t="shared" si="22"/>
        <v>0</v>
      </c>
      <c r="AH16" s="276">
        <f t="shared" ref="AH16:AI16" si="23">5%*AH6</f>
        <v>0</v>
      </c>
      <c r="AI16" s="276">
        <f t="shared" si="23"/>
        <v>0</v>
      </c>
    </row>
    <row r="17" spans="1:35" x14ac:dyDescent="0.25">
      <c r="B17" s="273" t="s">
        <v>321</v>
      </c>
      <c r="C17" s="272" t="s">
        <v>316</v>
      </c>
      <c r="D17" s="355">
        <f t="shared" si="6"/>
        <v>5497150.2758369204</v>
      </c>
      <c r="E17" s="272"/>
      <c r="F17" s="276">
        <f>2.5%*F7</f>
        <v>9189.8221215314952</v>
      </c>
      <c r="G17" s="276">
        <f t="shared" ref="G17:K17" si="24">2.5%*G7</f>
        <v>45949.110607657472</v>
      </c>
      <c r="H17" s="276">
        <f t="shared" si="24"/>
        <v>275694.66364594479</v>
      </c>
      <c r="I17" s="276">
        <f t="shared" si="24"/>
        <v>321643.77425360231</v>
      </c>
      <c r="J17" s="276">
        <f t="shared" si="24"/>
        <v>183796.44243062989</v>
      </c>
      <c r="K17" s="276">
        <f t="shared" si="24"/>
        <v>45949.110607657472</v>
      </c>
      <c r="L17" s="276">
        <f t="shared" ref="L17:V17" si="25">2.5%*L7</f>
        <v>36759.288486125981</v>
      </c>
      <c r="M17" s="276">
        <f t="shared" si="25"/>
        <v>121617.4912125533</v>
      </c>
      <c r="N17" s="276">
        <f t="shared" si="25"/>
        <v>121617.4912125533</v>
      </c>
      <c r="O17" s="276">
        <f t="shared" si="25"/>
        <v>121617.4912125533</v>
      </c>
      <c r="P17" s="276">
        <f t="shared" si="25"/>
        <v>121617.4912125533</v>
      </c>
      <c r="Q17" s="276">
        <f t="shared" si="25"/>
        <v>121617.4912125533</v>
      </c>
      <c r="R17" s="276">
        <f t="shared" si="25"/>
        <v>121617.4912125533</v>
      </c>
      <c r="S17" s="276">
        <f t="shared" si="25"/>
        <v>121617.4912125533</v>
      </c>
      <c r="T17" s="276">
        <f t="shared" si="25"/>
        <v>338804.14774508151</v>
      </c>
      <c r="U17" s="276">
        <f t="shared" si="25"/>
        <v>338804.14774508151</v>
      </c>
      <c r="V17" s="276">
        <f t="shared" si="25"/>
        <v>338804.14774508151</v>
      </c>
      <c r="W17" s="276">
        <f t="shared" si="22"/>
        <v>677608.29549016303</v>
      </c>
      <c r="X17" s="276">
        <f t="shared" si="22"/>
        <v>677608.29549016303</v>
      </c>
      <c r="Y17" s="276">
        <f t="shared" si="22"/>
        <v>677608.29549016303</v>
      </c>
      <c r="Z17" s="276">
        <f t="shared" si="22"/>
        <v>677608.29549016303</v>
      </c>
      <c r="AA17" s="276">
        <f t="shared" si="22"/>
        <v>0</v>
      </c>
      <c r="AB17" s="276">
        <f t="shared" si="22"/>
        <v>0</v>
      </c>
      <c r="AC17" s="276">
        <f t="shared" si="22"/>
        <v>0</v>
      </c>
      <c r="AD17" s="276">
        <f t="shared" si="22"/>
        <v>0</v>
      </c>
      <c r="AE17" s="276">
        <f t="shared" si="22"/>
        <v>0</v>
      </c>
      <c r="AF17" s="276">
        <f t="shared" si="22"/>
        <v>0</v>
      </c>
      <c r="AG17" s="276">
        <f t="shared" si="22"/>
        <v>0</v>
      </c>
      <c r="AH17" s="276">
        <f t="shared" ref="AH17:AI17" si="26">5%*AH7</f>
        <v>0</v>
      </c>
      <c r="AI17" s="276">
        <f t="shared" si="26"/>
        <v>0</v>
      </c>
    </row>
    <row r="18" spans="1:35" x14ac:dyDescent="0.25">
      <c r="B18" s="290" t="s">
        <v>352</v>
      </c>
      <c r="C18" s="272" t="s">
        <v>316</v>
      </c>
      <c r="D18" s="277">
        <f t="shared" si="6"/>
        <v>2255153.0578154414</v>
      </c>
      <c r="E18" s="272"/>
      <c r="F18" s="278">
        <f t="shared" ref="F18:AG18" si="27">SUM(F19:F20)</f>
        <v>2789.3084253232241</v>
      </c>
      <c r="G18" s="278">
        <f t="shared" si="27"/>
        <v>13946.542126616119</v>
      </c>
      <c r="H18" s="278">
        <f t="shared" si="27"/>
        <v>83679.252759696712</v>
      </c>
      <c r="I18" s="278">
        <f t="shared" si="27"/>
        <v>97625.794886312826</v>
      </c>
      <c r="J18" s="278">
        <f t="shared" si="27"/>
        <v>55786.168506464477</v>
      </c>
      <c r="K18" s="278">
        <f t="shared" si="27"/>
        <v>13946.542126616119</v>
      </c>
      <c r="L18" s="278">
        <f t="shared" si="27"/>
        <v>11157.233701292897</v>
      </c>
      <c r="M18" s="278">
        <f t="shared" si="27"/>
        <v>92587.13658891416</v>
      </c>
      <c r="N18" s="278">
        <f t="shared" si="27"/>
        <v>92587.13658891416</v>
      </c>
      <c r="O18" s="278">
        <f t="shared" si="27"/>
        <v>92587.13658891416</v>
      </c>
      <c r="P18" s="278">
        <f t="shared" si="27"/>
        <v>92587.13658891416</v>
      </c>
      <c r="Q18" s="278">
        <f t="shared" si="27"/>
        <v>92587.13658891416</v>
      </c>
      <c r="R18" s="278">
        <f t="shared" si="27"/>
        <v>92587.13658891416</v>
      </c>
      <c r="S18" s="278">
        <f t="shared" si="27"/>
        <v>92587.13658891416</v>
      </c>
      <c r="T18" s="278">
        <f t="shared" si="27"/>
        <v>81312.995458819569</v>
      </c>
      <c r="U18" s="278">
        <f t="shared" si="27"/>
        <v>81312.995458819569</v>
      </c>
      <c r="V18" s="278">
        <f t="shared" si="27"/>
        <v>81312.995458819569</v>
      </c>
      <c r="W18" s="278">
        <f t="shared" si="27"/>
        <v>271043.3181960652</v>
      </c>
      <c r="X18" s="278">
        <f t="shared" si="27"/>
        <v>271043.3181960652</v>
      </c>
      <c r="Y18" s="278">
        <f t="shared" si="27"/>
        <v>271043.3181960652</v>
      </c>
      <c r="Z18" s="278">
        <f t="shared" si="27"/>
        <v>271043.3181960652</v>
      </c>
      <c r="AA18" s="278">
        <f t="shared" si="27"/>
        <v>0</v>
      </c>
      <c r="AB18" s="278">
        <f t="shared" si="27"/>
        <v>0</v>
      </c>
      <c r="AC18" s="278">
        <f t="shared" si="27"/>
        <v>0</v>
      </c>
      <c r="AD18" s="278">
        <f t="shared" si="27"/>
        <v>0</v>
      </c>
      <c r="AE18" s="278">
        <f t="shared" si="27"/>
        <v>0</v>
      </c>
      <c r="AF18" s="278">
        <f t="shared" si="27"/>
        <v>0</v>
      </c>
      <c r="AG18" s="278">
        <f t="shared" si="27"/>
        <v>0</v>
      </c>
      <c r="AH18" s="278">
        <f t="shared" ref="AH18:AI18" si="28">SUM(AH19:AH20)</f>
        <v>0</v>
      </c>
      <c r="AI18" s="278">
        <f t="shared" si="28"/>
        <v>0</v>
      </c>
    </row>
    <row r="19" spans="1:35" x14ac:dyDescent="0.25">
      <c r="B19" s="272" t="s">
        <v>302</v>
      </c>
      <c r="C19" s="272" t="s">
        <v>316</v>
      </c>
      <c r="D19" s="275">
        <f t="shared" si="6"/>
        <v>502167.68250087614</v>
      </c>
      <c r="E19" s="272"/>
      <c r="F19" s="276">
        <f>F6*0.6%</f>
        <v>583.75111615566539</v>
      </c>
      <c r="G19" s="276">
        <f t="shared" ref="G19:V19" si="29">G6*0.6%</f>
        <v>2918.7555807783265</v>
      </c>
      <c r="H19" s="276">
        <f t="shared" si="29"/>
        <v>17512.533484669959</v>
      </c>
      <c r="I19" s="276">
        <f t="shared" si="29"/>
        <v>20431.289065448284</v>
      </c>
      <c r="J19" s="276">
        <f t="shared" si="29"/>
        <v>11675.022323113306</v>
      </c>
      <c r="K19" s="276">
        <f t="shared" si="29"/>
        <v>2918.7555807783265</v>
      </c>
      <c r="L19" s="276">
        <f t="shared" si="29"/>
        <v>2335.0044646226615</v>
      </c>
      <c r="M19" s="276">
        <f t="shared" si="29"/>
        <v>63398.938697901373</v>
      </c>
      <c r="N19" s="276">
        <f t="shared" si="29"/>
        <v>63398.938697901373</v>
      </c>
      <c r="O19" s="276">
        <f t="shared" si="29"/>
        <v>63398.938697901373</v>
      </c>
      <c r="P19" s="276">
        <f t="shared" si="29"/>
        <v>63398.938697901373</v>
      </c>
      <c r="Q19" s="276">
        <f t="shared" si="29"/>
        <v>63398.938697901373</v>
      </c>
      <c r="R19" s="276">
        <f t="shared" si="29"/>
        <v>63398.938697901373</v>
      </c>
      <c r="S19" s="276">
        <f t="shared" si="29"/>
        <v>63398.938697901373</v>
      </c>
      <c r="T19" s="276">
        <f t="shared" si="29"/>
        <v>0</v>
      </c>
      <c r="U19" s="276">
        <f t="shared" si="29"/>
        <v>0</v>
      </c>
      <c r="V19" s="276">
        <f t="shared" si="29"/>
        <v>0</v>
      </c>
      <c r="W19" s="276">
        <f t="shared" ref="W19:AG20" si="30">W6*2%</f>
        <v>0</v>
      </c>
      <c r="X19" s="276">
        <f t="shared" si="30"/>
        <v>0</v>
      </c>
      <c r="Y19" s="276">
        <f t="shared" si="30"/>
        <v>0</v>
      </c>
      <c r="Z19" s="276">
        <f t="shared" si="30"/>
        <v>0</v>
      </c>
      <c r="AA19" s="276">
        <f t="shared" si="30"/>
        <v>0</v>
      </c>
      <c r="AB19" s="276">
        <f t="shared" si="30"/>
        <v>0</v>
      </c>
      <c r="AC19" s="276">
        <f t="shared" si="30"/>
        <v>0</v>
      </c>
      <c r="AD19" s="276">
        <f t="shared" si="30"/>
        <v>0</v>
      </c>
      <c r="AE19" s="276">
        <f t="shared" si="30"/>
        <v>0</v>
      </c>
      <c r="AF19" s="276">
        <f t="shared" si="30"/>
        <v>0</v>
      </c>
      <c r="AG19" s="276">
        <f t="shared" si="30"/>
        <v>0</v>
      </c>
      <c r="AH19" s="276">
        <f t="shared" ref="AH19:AI19" si="31">AH6*2%</f>
        <v>0</v>
      </c>
      <c r="AI19" s="276">
        <f t="shared" si="31"/>
        <v>0</v>
      </c>
    </row>
    <row r="20" spans="1:35" x14ac:dyDescent="0.25">
      <c r="B20" s="273" t="s">
        <v>321</v>
      </c>
      <c r="C20" s="272" t="s">
        <v>316</v>
      </c>
      <c r="D20" s="275">
        <f t="shared" si="6"/>
        <v>1752985.3753145649</v>
      </c>
      <c r="E20" s="272"/>
      <c r="F20" s="276">
        <f>F7*0.6%</f>
        <v>2205.5573091675587</v>
      </c>
      <c r="G20" s="276">
        <f t="shared" ref="G20:V20" si="32">G7*0.6%</f>
        <v>11027.786545837793</v>
      </c>
      <c r="H20" s="276">
        <f t="shared" si="32"/>
        <v>66166.719275026757</v>
      </c>
      <c r="I20" s="276">
        <f t="shared" si="32"/>
        <v>77194.50582086455</v>
      </c>
      <c r="J20" s="276">
        <f t="shared" si="32"/>
        <v>44111.146183351171</v>
      </c>
      <c r="K20" s="276">
        <f t="shared" si="32"/>
        <v>11027.786545837793</v>
      </c>
      <c r="L20" s="276">
        <f t="shared" si="32"/>
        <v>8822.229236670235</v>
      </c>
      <c r="M20" s="276">
        <f t="shared" si="32"/>
        <v>29188.197891012791</v>
      </c>
      <c r="N20" s="276">
        <f t="shared" si="32"/>
        <v>29188.197891012791</v>
      </c>
      <c r="O20" s="276">
        <f t="shared" si="32"/>
        <v>29188.197891012791</v>
      </c>
      <c r="P20" s="276">
        <f t="shared" si="32"/>
        <v>29188.197891012791</v>
      </c>
      <c r="Q20" s="276">
        <f t="shared" si="32"/>
        <v>29188.197891012791</v>
      </c>
      <c r="R20" s="276">
        <f t="shared" si="32"/>
        <v>29188.197891012791</v>
      </c>
      <c r="S20" s="276">
        <f t="shared" si="32"/>
        <v>29188.197891012791</v>
      </c>
      <c r="T20" s="276">
        <f t="shared" si="32"/>
        <v>81312.995458819569</v>
      </c>
      <c r="U20" s="276">
        <f t="shared" si="32"/>
        <v>81312.995458819569</v>
      </c>
      <c r="V20" s="276">
        <f t="shared" si="32"/>
        <v>81312.995458819569</v>
      </c>
      <c r="W20" s="276">
        <f t="shared" si="30"/>
        <v>271043.3181960652</v>
      </c>
      <c r="X20" s="276">
        <f t="shared" si="30"/>
        <v>271043.3181960652</v>
      </c>
      <c r="Y20" s="276">
        <f t="shared" si="30"/>
        <v>271043.3181960652</v>
      </c>
      <c r="Z20" s="276">
        <f t="shared" si="30"/>
        <v>271043.3181960652</v>
      </c>
      <c r="AA20" s="276">
        <f t="shared" si="30"/>
        <v>0</v>
      </c>
      <c r="AB20" s="276">
        <f t="shared" si="30"/>
        <v>0</v>
      </c>
      <c r="AC20" s="276">
        <f t="shared" si="30"/>
        <v>0</v>
      </c>
      <c r="AD20" s="276">
        <f t="shared" si="30"/>
        <v>0</v>
      </c>
      <c r="AE20" s="276">
        <f t="shared" si="30"/>
        <v>0</v>
      </c>
      <c r="AF20" s="276">
        <f t="shared" si="30"/>
        <v>0</v>
      </c>
      <c r="AG20" s="276">
        <f t="shared" si="30"/>
        <v>0</v>
      </c>
      <c r="AH20" s="276">
        <f t="shared" ref="AH20:AI20" si="33">AH7*2%</f>
        <v>0</v>
      </c>
      <c r="AI20" s="276">
        <f t="shared" si="33"/>
        <v>0</v>
      </c>
    </row>
    <row r="21" spans="1:35" x14ac:dyDescent="0.25">
      <c r="B21" s="290" t="s">
        <v>353</v>
      </c>
      <c r="C21" s="272" t="s">
        <v>316</v>
      </c>
      <c r="D21" s="277">
        <f t="shared" si="6"/>
        <v>15179031.239181142</v>
      </c>
      <c r="E21" s="272"/>
      <c r="F21" s="278">
        <f t="shared" ref="F21:AG21" si="34">SUM(F22:F23)</f>
        <v>23244.236877693536</v>
      </c>
      <c r="G21" s="278">
        <f t="shared" si="34"/>
        <v>116221.18438846766</v>
      </c>
      <c r="H21" s="278">
        <f t="shared" si="34"/>
        <v>697327.10633080592</v>
      </c>
      <c r="I21" s="278">
        <f t="shared" si="34"/>
        <v>813548.29071927373</v>
      </c>
      <c r="J21" s="278">
        <f t="shared" si="34"/>
        <v>464884.73755387065</v>
      </c>
      <c r="K21" s="278">
        <f t="shared" si="34"/>
        <v>116221.18438846766</v>
      </c>
      <c r="L21" s="278">
        <f t="shared" si="34"/>
        <v>92976.947510774145</v>
      </c>
      <c r="M21" s="278">
        <f t="shared" si="34"/>
        <v>771559.47157428472</v>
      </c>
      <c r="N21" s="278">
        <f t="shared" si="34"/>
        <v>771559.47157428472</v>
      </c>
      <c r="O21" s="278">
        <f t="shared" si="34"/>
        <v>771559.47157428472</v>
      </c>
      <c r="P21" s="278">
        <f t="shared" si="34"/>
        <v>771559.47157428472</v>
      </c>
      <c r="Q21" s="278">
        <f t="shared" si="34"/>
        <v>771559.47157428472</v>
      </c>
      <c r="R21" s="278">
        <f t="shared" si="34"/>
        <v>771559.47157428472</v>
      </c>
      <c r="S21" s="278">
        <f t="shared" si="34"/>
        <v>771559.47157428472</v>
      </c>
      <c r="T21" s="278">
        <f t="shared" si="34"/>
        <v>677608.29549016303</v>
      </c>
      <c r="U21" s="278">
        <f t="shared" si="34"/>
        <v>677608.29549016303</v>
      </c>
      <c r="V21" s="278">
        <f t="shared" si="34"/>
        <v>677608.29549016303</v>
      </c>
      <c r="W21" s="278">
        <f t="shared" si="34"/>
        <v>1355216.5909803261</v>
      </c>
      <c r="X21" s="278">
        <f t="shared" si="34"/>
        <v>1355216.5909803261</v>
      </c>
      <c r="Y21" s="278">
        <f t="shared" si="34"/>
        <v>1355216.5909803261</v>
      </c>
      <c r="Z21" s="278">
        <f t="shared" si="34"/>
        <v>1355216.5909803261</v>
      </c>
      <c r="AA21" s="278">
        <f t="shared" si="34"/>
        <v>0</v>
      </c>
      <c r="AB21" s="278">
        <f t="shared" si="34"/>
        <v>0</v>
      </c>
      <c r="AC21" s="278">
        <f t="shared" si="34"/>
        <v>0</v>
      </c>
      <c r="AD21" s="278">
        <f t="shared" si="34"/>
        <v>0</v>
      </c>
      <c r="AE21" s="278">
        <f t="shared" si="34"/>
        <v>0</v>
      </c>
      <c r="AF21" s="278">
        <f t="shared" si="34"/>
        <v>0</v>
      </c>
      <c r="AG21" s="278">
        <f t="shared" si="34"/>
        <v>0</v>
      </c>
      <c r="AH21" s="278">
        <f t="shared" ref="AH21:AI21" si="35">SUM(AH22:AH23)</f>
        <v>0</v>
      </c>
      <c r="AI21" s="278">
        <f t="shared" si="35"/>
        <v>0</v>
      </c>
    </row>
    <row r="22" spans="1:35" x14ac:dyDescent="0.25">
      <c r="B22" s="272" t="s">
        <v>302</v>
      </c>
      <c r="C22" s="272" t="s">
        <v>316</v>
      </c>
      <c r="D22" s="275">
        <f t="shared" si="6"/>
        <v>4184730.6875073016</v>
      </c>
      <c r="E22" s="272"/>
      <c r="F22" s="276">
        <f>F6*5%</f>
        <v>4864.592634630545</v>
      </c>
      <c r="G22" s="276">
        <f t="shared" ref="G22:V22" si="36">G6*5%</f>
        <v>24322.963173152722</v>
      </c>
      <c r="H22" s="276">
        <f t="shared" si="36"/>
        <v>145937.77903891631</v>
      </c>
      <c r="I22" s="276">
        <f t="shared" si="36"/>
        <v>170260.74221206905</v>
      </c>
      <c r="J22" s="276">
        <f t="shared" si="36"/>
        <v>97291.85269261089</v>
      </c>
      <c r="K22" s="276">
        <f t="shared" si="36"/>
        <v>24322.963173152722</v>
      </c>
      <c r="L22" s="276">
        <f t="shared" si="36"/>
        <v>19458.37053852218</v>
      </c>
      <c r="M22" s="276">
        <f t="shared" si="36"/>
        <v>528324.48914917815</v>
      </c>
      <c r="N22" s="276">
        <f t="shared" si="36"/>
        <v>528324.48914917815</v>
      </c>
      <c r="O22" s="276">
        <f t="shared" si="36"/>
        <v>528324.48914917815</v>
      </c>
      <c r="P22" s="276">
        <f t="shared" si="36"/>
        <v>528324.48914917815</v>
      </c>
      <c r="Q22" s="276">
        <f t="shared" si="36"/>
        <v>528324.48914917815</v>
      </c>
      <c r="R22" s="276">
        <f t="shared" si="36"/>
        <v>528324.48914917815</v>
      </c>
      <c r="S22" s="276">
        <f t="shared" si="36"/>
        <v>528324.48914917815</v>
      </c>
      <c r="T22" s="276">
        <f t="shared" si="36"/>
        <v>0</v>
      </c>
      <c r="U22" s="276">
        <f t="shared" si="36"/>
        <v>0</v>
      </c>
      <c r="V22" s="276">
        <f t="shared" si="36"/>
        <v>0</v>
      </c>
      <c r="W22" s="276">
        <f t="shared" ref="W22:AG23" si="37">W6*10%</f>
        <v>0</v>
      </c>
      <c r="X22" s="276">
        <f t="shared" si="37"/>
        <v>0</v>
      </c>
      <c r="Y22" s="276">
        <f t="shared" si="37"/>
        <v>0</v>
      </c>
      <c r="Z22" s="276">
        <f t="shared" si="37"/>
        <v>0</v>
      </c>
      <c r="AA22" s="276">
        <f t="shared" si="37"/>
        <v>0</v>
      </c>
      <c r="AB22" s="276">
        <f t="shared" si="37"/>
        <v>0</v>
      </c>
      <c r="AC22" s="276">
        <f t="shared" si="37"/>
        <v>0</v>
      </c>
      <c r="AD22" s="276">
        <f t="shared" si="37"/>
        <v>0</v>
      </c>
      <c r="AE22" s="276">
        <f t="shared" si="37"/>
        <v>0</v>
      </c>
      <c r="AF22" s="276">
        <f t="shared" si="37"/>
        <v>0</v>
      </c>
      <c r="AG22" s="276">
        <f t="shared" si="37"/>
        <v>0</v>
      </c>
      <c r="AH22" s="276">
        <f t="shared" ref="AH22:AI22" si="38">AH6*10%</f>
        <v>0</v>
      </c>
      <c r="AI22" s="276">
        <f t="shared" si="38"/>
        <v>0</v>
      </c>
    </row>
    <row r="23" spans="1:35" x14ac:dyDescent="0.25">
      <c r="B23" s="273" t="s">
        <v>321</v>
      </c>
      <c r="C23" s="272" t="s">
        <v>316</v>
      </c>
      <c r="D23" s="275">
        <f t="shared" si="6"/>
        <v>10994300.551673841</v>
      </c>
      <c r="E23" s="272"/>
      <c r="F23" s="276">
        <f>F7*5%</f>
        <v>18379.64424306299</v>
      </c>
      <c r="G23" s="276">
        <f t="shared" ref="G23:V23" si="39">G7*5%</f>
        <v>91898.221215314945</v>
      </c>
      <c r="H23" s="276">
        <f t="shared" si="39"/>
        <v>551389.32729188958</v>
      </c>
      <c r="I23" s="276">
        <f t="shared" si="39"/>
        <v>643287.54850720463</v>
      </c>
      <c r="J23" s="276">
        <f t="shared" si="39"/>
        <v>367592.88486125978</v>
      </c>
      <c r="K23" s="276">
        <f t="shared" si="39"/>
        <v>91898.221215314945</v>
      </c>
      <c r="L23" s="276">
        <f t="shared" si="39"/>
        <v>73518.576972251962</v>
      </c>
      <c r="M23" s="276">
        <f t="shared" si="39"/>
        <v>243234.9824251066</v>
      </c>
      <c r="N23" s="276">
        <f t="shared" si="39"/>
        <v>243234.9824251066</v>
      </c>
      <c r="O23" s="276">
        <f t="shared" si="39"/>
        <v>243234.9824251066</v>
      </c>
      <c r="P23" s="276">
        <f t="shared" si="39"/>
        <v>243234.9824251066</v>
      </c>
      <c r="Q23" s="276">
        <f t="shared" si="39"/>
        <v>243234.9824251066</v>
      </c>
      <c r="R23" s="276">
        <f t="shared" si="39"/>
        <v>243234.9824251066</v>
      </c>
      <c r="S23" s="276">
        <f t="shared" si="39"/>
        <v>243234.9824251066</v>
      </c>
      <c r="T23" s="276">
        <f t="shared" si="39"/>
        <v>677608.29549016303</v>
      </c>
      <c r="U23" s="276">
        <f t="shared" si="39"/>
        <v>677608.29549016303</v>
      </c>
      <c r="V23" s="276">
        <f t="shared" si="39"/>
        <v>677608.29549016303</v>
      </c>
      <c r="W23" s="276">
        <f t="shared" si="37"/>
        <v>1355216.5909803261</v>
      </c>
      <c r="X23" s="276">
        <f t="shared" si="37"/>
        <v>1355216.5909803261</v>
      </c>
      <c r="Y23" s="276">
        <f t="shared" si="37"/>
        <v>1355216.5909803261</v>
      </c>
      <c r="Z23" s="276">
        <f t="shared" si="37"/>
        <v>1355216.5909803261</v>
      </c>
      <c r="AA23" s="276">
        <f t="shared" si="37"/>
        <v>0</v>
      </c>
      <c r="AB23" s="276">
        <f t="shared" si="37"/>
        <v>0</v>
      </c>
      <c r="AC23" s="276">
        <f t="shared" si="37"/>
        <v>0</v>
      </c>
      <c r="AD23" s="276">
        <f t="shared" si="37"/>
        <v>0</v>
      </c>
      <c r="AE23" s="276">
        <f t="shared" si="37"/>
        <v>0</v>
      </c>
      <c r="AF23" s="276">
        <f t="shared" si="37"/>
        <v>0</v>
      </c>
      <c r="AG23" s="276">
        <f t="shared" si="37"/>
        <v>0</v>
      </c>
      <c r="AH23" s="276">
        <f t="shared" ref="AH23:AI23" si="40">AH7*10%</f>
        <v>0</v>
      </c>
      <c r="AI23" s="276">
        <f t="shared" si="40"/>
        <v>0</v>
      </c>
    </row>
    <row r="24" spans="1:35" x14ac:dyDescent="0.25">
      <c r="B24" s="290" t="s">
        <v>526</v>
      </c>
      <c r="C24" s="272" t="s">
        <v>316</v>
      </c>
      <c r="D24" s="277">
        <f t="shared" si="6"/>
        <v>2119661.6697274824</v>
      </c>
      <c r="E24" s="272"/>
      <c r="F24" s="278">
        <f>F25+F26</f>
        <v>3951.520269207901</v>
      </c>
      <c r="G24" s="278">
        <f t="shared" ref="G24:I24" si="41">G25+G26</f>
        <v>19757.601346039504</v>
      </c>
      <c r="H24" s="278">
        <f t="shared" si="41"/>
        <v>118545.60807623701</v>
      </c>
      <c r="I24" s="278">
        <f t="shared" si="41"/>
        <v>138303.20942227653</v>
      </c>
      <c r="J24" s="278">
        <f t="shared" ref="J24" si="42">J25+J26</f>
        <v>79030.405384158017</v>
      </c>
      <c r="K24" s="278">
        <f t="shared" ref="K24" si="43">K25+K26</f>
        <v>19757.601346039504</v>
      </c>
      <c r="L24" s="278">
        <f t="shared" ref="L24" si="44">L25+L26</f>
        <v>15806.081076831604</v>
      </c>
      <c r="M24" s="278">
        <f t="shared" ref="M24" si="45">M25+M26</f>
        <v>131165.11016762839</v>
      </c>
      <c r="N24" s="278">
        <f t="shared" ref="N24" si="46">N25+N26</f>
        <v>131165.11016762839</v>
      </c>
      <c r="O24" s="278">
        <f t="shared" ref="O24" si="47">O25+O26</f>
        <v>131165.11016762839</v>
      </c>
      <c r="P24" s="278">
        <f t="shared" ref="P24" si="48">P25+P26</f>
        <v>131165.11016762839</v>
      </c>
      <c r="Q24" s="278">
        <f t="shared" ref="Q24" si="49">Q25+Q26</f>
        <v>131165.11016762839</v>
      </c>
      <c r="R24" s="278">
        <f t="shared" ref="R24" si="50">R25+R26</f>
        <v>131165.11016762839</v>
      </c>
      <c r="S24" s="278">
        <f t="shared" ref="S24" si="51">S25+S26</f>
        <v>131165.11016762839</v>
      </c>
      <c r="T24" s="278">
        <f t="shared" ref="T24" si="52">T25+T26</f>
        <v>115193.41023332773</v>
      </c>
      <c r="U24" s="278">
        <f t="shared" ref="U24" si="53">U25+U26</f>
        <v>115193.41023332773</v>
      </c>
      <c r="V24" s="278">
        <f t="shared" ref="V24" si="54">V25+V26</f>
        <v>115193.41023332773</v>
      </c>
      <c r="W24" s="278">
        <f t="shared" ref="W24" si="55">W25+W26</f>
        <v>115193.41023332773</v>
      </c>
      <c r="X24" s="278">
        <f t="shared" ref="X24" si="56">X25+X26</f>
        <v>115193.41023332773</v>
      </c>
      <c r="Y24" s="278">
        <f t="shared" ref="Y24" si="57">Y25+Y26</f>
        <v>115193.41023332773</v>
      </c>
      <c r="Z24" s="278">
        <f t="shared" ref="Z24" si="58">Z25+Z26</f>
        <v>115193.41023332773</v>
      </c>
      <c r="AA24" s="278">
        <f t="shared" ref="AA24" si="59">AA25+AA26</f>
        <v>0</v>
      </c>
      <c r="AB24" s="278">
        <f t="shared" ref="AB24" si="60">AB25+AB26</f>
        <v>0</v>
      </c>
      <c r="AC24" s="278">
        <f t="shared" ref="AC24" si="61">AC25+AC26</f>
        <v>0</v>
      </c>
      <c r="AD24" s="278">
        <f t="shared" ref="AD24" si="62">AD25+AD26</f>
        <v>0</v>
      </c>
      <c r="AE24" s="278">
        <f t="shared" ref="AE24" si="63">AE25+AE26</f>
        <v>0</v>
      </c>
      <c r="AF24" s="278">
        <f t="shared" ref="AF24" si="64">AF25+AF26</f>
        <v>0</v>
      </c>
      <c r="AG24" s="278">
        <f t="shared" ref="AG24" si="65">AG25+AG26</f>
        <v>0</v>
      </c>
      <c r="AH24" s="278">
        <f t="shared" ref="AH24" si="66">AH25+AH26</f>
        <v>0</v>
      </c>
      <c r="AI24" s="278">
        <f t="shared" ref="AI24" si="67">AI25+AI26</f>
        <v>0</v>
      </c>
    </row>
    <row r="25" spans="1:35" s="373" customFormat="1" x14ac:dyDescent="0.25">
      <c r="A25" s="172"/>
      <c r="B25" s="272" t="s">
        <v>302</v>
      </c>
      <c r="C25" s="272" t="s">
        <v>316</v>
      </c>
      <c r="D25" s="277">
        <f t="shared" si="6"/>
        <v>711404.21687624115</v>
      </c>
      <c r="E25" s="272"/>
      <c r="F25" s="278">
        <f>F6*0.85%</f>
        <v>826.98074788719259</v>
      </c>
      <c r="G25" s="278">
        <f t="shared" ref="G25:AI25" si="68">G6*0.85%</f>
        <v>4134.903739435963</v>
      </c>
      <c r="H25" s="278">
        <f t="shared" si="68"/>
        <v>24809.422436615776</v>
      </c>
      <c r="I25" s="278">
        <f t="shared" si="68"/>
        <v>28944.326176051738</v>
      </c>
      <c r="J25" s="278">
        <f t="shared" si="68"/>
        <v>16539.614957743852</v>
      </c>
      <c r="K25" s="278">
        <f t="shared" si="68"/>
        <v>4134.903739435963</v>
      </c>
      <c r="L25" s="278">
        <f t="shared" si="68"/>
        <v>3307.9229915487704</v>
      </c>
      <c r="M25" s="278">
        <f t="shared" si="68"/>
        <v>89815.163155360278</v>
      </c>
      <c r="N25" s="278">
        <f t="shared" si="68"/>
        <v>89815.163155360278</v>
      </c>
      <c r="O25" s="278">
        <f t="shared" si="68"/>
        <v>89815.163155360278</v>
      </c>
      <c r="P25" s="278">
        <f t="shared" si="68"/>
        <v>89815.163155360278</v>
      </c>
      <c r="Q25" s="278">
        <f t="shared" si="68"/>
        <v>89815.163155360278</v>
      </c>
      <c r="R25" s="278">
        <f t="shared" si="68"/>
        <v>89815.163155360278</v>
      </c>
      <c r="S25" s="278">
        <f t="shared" si="68"/>
        <v>89815.163155360278</v>
      </c>
      <c r="T25" s="278">
        <f t="shared" si="68"/>
        <v>0</v>
      </c>
      <c r="U25" s="278">
        <f t="shared" si="68"/>
        <v>0</v>
      </c>
      <c r="V25" s="278">
        <f t="shared" si="68"/>
        <v>0</v>
      </c>
      <c r="W25" s="278">
        <f t="shared" si="68"/>
        <v>0</v>
      </c>
      <c r="X25" s="278">
        <f t="shared" si="68"/>
        <v>0</v>
      </c>
      <c r="Y25" s="278">
        <f t="shared" si="68"/>
        <v>0</v>
      </c>
      <c r="Z25" s="278">
        <f t="shared" si="68"/>
        <v>0</v>
      </c>
      <c r="AA25" s="278">
        <f t="shared" si="68"/>
        <v>0</v>
      </c>
      <c r="AB25" s="278">
        <f t="shared" si="68"/>
        <v>0</v>
      </c>
      <c r="AC25" s="278">
        <f t="shared" si="68"/>
        <v>0</v>
      </c>
      <c r="AD25" s="278">
        <f t="shared" si="68"/>
        <v>0</v>
      </c>
      <c r="AE25" s="278">
        <f t="shared" si="68"/>
        <v>0</v>
      </c>
      <c r="AF25" s="278">
        <f t="shared" si="68"/>
        <v>0</v>
      </c>
      <c r="AG25" s="278">
        <f t="shared" si="68"/>
        <v>0</v>
      </c>
      <c r="AH25" s="278">
        <f t="shared" si="68"/>
        <v>0</v>
      </c>
      <c r="AI25" s="278">
        <f t="shared" si="68"/>
        <v>0</v>
      </c>
    </row>
    <row r="26" spans="1:35" s="373" customFormat="1" x14ac:dyDescent="0.25">
      <c r="A26" s="172"/>
      <c r="B26" s="273" t="s">
        <v>321</v>
      </c>
      <c r="C26" s="272" t="s">
        <v>316</v>
      </c>
      <c r="D26" s="277">
        <f t="shared" si="6"/>
        <v>1408257.4528512417</v>
      </c>
      <c r="E26" s="272"/>
      <c r="F26" s="278">
        <f>F7*0.85%</f>
        <v>3124.5395213207084</v>
      </c>
      <c r="G26" s="278">
        <f t="shared" ref="G26:AI26" si="69">G7*0.85%</f>
        <v>15622.69760660354</v>
      </c>
      <c r="H26" s="278">
        <f t="shared" si="69"/>
        <v>93736.185639621239</v>
      </c>
      <c r="I26" s="278">
        <f t="shared" si="69"/>
        <v>109358.88324622478</v>
      </c>
      <c r="J26" s="278">
        <f t="shared" si="69"/>
        <v>62490.790426414162</v>
      </c>
      <c r="K26" s="278">
        <f t="shared" si="69"/>
        <v>15622.69760660354</v>
      </c>
      <c r="L26" s="278">
        <f t="shared" si="69"/>
        <v>12498.158085282834</v>
      </c>
      <c r="M26" s="278">
        <f t="shared" si="69"/>
        <v>41349.947012268123</v>
      </c>
      <c r="N26" s="278">
        <f t="shared" si="69"/>
        <v>41349.947012268123</v>
      </c>
      <c r="O26" s="278">
        <f t="shared" si="69"/>
        <v>41349.947012268123</v>
      </c>
      <c r="P26" s="278">
        <f t="shared" si="69"/>
        <v>41349.947012268123</v>
      </c>
      <c r="Q26" s="278">
        <f t="shared" si="69"/>
        <v>41349.947012268123</v>
      </c>
      <c r="R26" s="278">
        <f t="shared" si="69"/>
        <v>41349.947012268123</v>
      </c>
      <c r="S26" s="278">
        <f t="shared" si="69"/>
        <v>41349.947012268123</v>
      </c>
      <c r="T26" s="278">
        <f t="shared" si="69"/>
        <v>115193.41023332773</v>
      </c>
      <c r="U26" s="278">
        <f t="shared" si="69"/>
        <v>115193.41023332773</v>
      </c>
      <c r="V26" s="278">
        <f t="shared" si="69"/>
        <v>115193.41023332773</v>
      </c>
      <c r="W26" s="278">
        <f t="shared" si="69"/>
        <v>115193.41023332773</v>
      </c>
      <c r="X26" s="278">
        <f t="shared" si="69"/>
        <v>115193.41023332773</v>
      </c>
      <c r="Y26" s="278">
        <f t="shared" si="69"/>
        <v>115193.41023332773</v>
      </c>
      <c r="Z26" s="278">
        <f t="shared" si="69"/>
        <v>115193.41023332773</v>
      </c>
      <c r="AA26" s="278">
        <f t="shared" si="69"/>
        <v>0</v>
      </c>
      <c r="AB26" s="278">
        <f t="shared" si="69"/>
        <v>0</v>
      </c>
      <c r="AC26" s="278">
        <f t="shared" si="69"/>
        <v>0</v>
      </c>
      <c r="AD26" s="278">
        <f t="shared" si="69"/>
        <v>0</v>
      </c>
      <c r="AE26" s="278">
        <f t="shared" si="69"/>
        <v>0</v>
      </c>
      <c r="AF26" s="278">
        <f t="shared" si="69"/>
        <v>0</v>
      </c>
      <c r="AG26" s="278">
        <f t="shared" si="69"/>
        <v>0</v>
      </c>
      <c r="AH26" s="278">
        <f t="shared" si="69"/>
        <v>0</v>
      </c>
      <c r="AI26" s="278">
        <f t="shared" si="69"/>
        <v>0</v>
      </c>
    </row>
    <row r="27" spans="1:35" x14ac:dyDescent="0.25">
      <c r="B27" s="290" t="s">
        <v>354</v>
      </c>
      <c r="C27" s="272" t="s">
        <v>316</v>
      </c>
      <c r="D27" s="275">
        <f>SUM(E27:AG27)</f>
        <v>287812962.68493164</v>
      </c>
      <c r="E27" s="272"/>
      <c r="F27" s="280">
        <f>SUM(F28:F29)</f>
        <v>527398.84489574807</v>
      </c>
      <c r="G27" s="280">
        <f t="shared" ref="G27:AI27" si="70">SUM(G28:G29)</f>
        <v>2636994.2244787407</v>
      </c>
      <c r="H27" s="280">
        <f t="shared" si="70"/>
        <v>15821965.346872441</v>
      </c>
      <c r="I27" s="280">
        <f t="shared" si="70"/>
        <v>18458959.571351185</v>
      </c>
      <c r="J27" s="280">
        <f t="shared" si="70"/>
        <v>10547976.897914963</v>
      </c>
      <c r="K27" s="280">
        <f t="shared" si="70"/>
        <v>2636994.2244787407</v>
      </c>
      <c r="L27" s="280">
        <f t="shared" si="70"/>
        <v>2109595.3795829923</v>
      </c>
      <c r="M27" s="280">
        <f t="shared" si="70"/>
        <v>17506256.549431153</v>
      </c>
      <c r="N27" s="280">
        <f t="shared" si="70"/>
        <v>17506256.549431153</v>
      </c>
      <c r="O27" s="280">
        <f t="shared" si="70"/>
        <v>17506256.549431153</v>
      </c>
      <c r="P27" s="280">
        <f t="shared" si="70"/>
        <v>17506256.549431153</v>
      </c>
      <c r="Q27" s="280">
        <f t="shared" si="70"/>
        <v>17506256.549431153</v>
      </c>
      <c r="R27" s="280">
        <f t="shared" si="70"/>
        <v>17506256.549431153</v>
      </c>
      <c r="S27" s="280">
        <f t="shared" si="70"/>
        <v>17506256.549431153</v>
      </c>
      <c r="T27" s="280">
        <f t="shared" si="70"/>
        <v>15374556.463767618</v>
      </c>
      <c r="U27" s="280">
        <f t="shared" si="70"/>
        <v>15374556.463767618</v>
      </c>
      <c r="V27" s="280">
        <f t="shared" si="70"/>
        <v>15374556.463767618</v>
      </c>
      <c r="W27" s="280">
        <f t="shared" si="70"/>
        <v>16601403.239508996</v>
      </c>
      <c r="X27" s="280">
        <f t="shared" si="70"/>
        <v>16601403.239508996</v>
      </c>
      <c r="Y27" s="280">
        <f t="shared" si="70"/>
        <v>16601403.239508996</v>
      </c>
      <c r="Z27" s="280">
        <f t="shared" si="70"/>
        <v>16601403.239508996</v>
      </c>
      <c r="AA27" s="280">
        <f t="shared" si="70"/>
        <v>0</v>
      </c>
      <c r="AB27" s="280">
        <f t="shared" si="70"/>
        <v>0</v>
      </c>
      <c r="AC27" s="280">
        <f t="shared" si="70"/>
        <v>0</v>
      </c>
      <c r="AD27" s="280">
        <f t="shared" si="70"/>
        <v>0</v>
      </c>
      <c r="AE27" s="280">
        <f t="shared" si="70"/>
        <v>0</v>
      </c>
      <c r="AF27" s="280">
        <f t="shared" si="70"/>
        <v>0</v>
      </c>
      <c r="AG27" s="280">
        <f t="shared" si="70"/>
        <v>0</v>
      </c>
      <c r="AH27" s="280">
        <f t="shared" si="70"/>
        <v>0</v>
      </c>
      <c r="AI27" s="280">
        <f t="shared" si="70"/>
        <v>0</v>
      </c>
    </row>
    <row r="28" spans="1:35" x14ac:dyDescent="0.25">
      <c r="B28" s="273" t="s">
        <v>302</v>
      </c>
      <c r="C28" s="272" t="s">
        <v>316</v>
      </c>
      <c r="D28" s="275">
        <f t="shared" si="6"/>
        <v>94949218.698985219</v>
      </c>
      <c r="E28" s="272"/>
      <c r="F28" s="276">
        <f>F6+F10+F13+F16+F19+F22+0.8472273%*F6</f>
        <v>110374.90926856744</v>
      </c>
      <c r="G28" s="276">
        <f t="shared" ref="G28:V28" si="71">G6+G10+G13+G16+G19+G22+0.8472273%*G6</f>
        <v>551874.54634283728</v>
      </c>
      <c r="H28" s="276">
        <f t="shared" si="71"/>
        <v>3311247.278057023</v>
      </c>
      <c r="I28" s="276">
        <f t="shared" si="71"/>
        <v>3863121.8243998606</v>
      </c>
      <c r="J28" s="276">
        <f t="shared" si="71"/>
        <v>2207498.1853713491</v>
      </c>
      <c r="K28" s="276">
        <f t="shared" si="71"/>
        <v>551874.54634283728</v>
      </c>
      <c r="L28" s="276">
        <f t="shared" si="71"/>
        <v>441499.63707426976</v>
      </c>
      <c r="M28" s="276">
        <f t="shared" si="71"/>
        <v>11987389.681732638</v>
      </c>
      <c r="N28" s="276">
        <f t="shared" si="71"/>
        <v>11987389.681732638</v>
      </c>
      <c r="O28" s="276">
        <f t="shared" si="71"/>
        <v>11987389.681732638</v>
      </c>
      <c r="P28" s="276">
        <f t="shared" si="71"/>
        <v>11987389.681732638</v>
      </c>
      <c r="Q28" s="276">
        <f t="shared" si="71"/>
        <v>11987389.681732638</v>
      </c>
      <c r="R28" s="276">
        <f t="shared" si="71"/>
        <v>11987389.681732638</v>
      </c>
      <c r="S28" s="276">
        <f t="shared" si="71"/>
        <v>11987389.681732638</v>
      </c>
      <c r="T28" s="276">
        <f t="shared" si="71"/>
        <v>0</v>
      </c>
      <c r="U28" s="276">
        <f t="shared" si="71"/>
        <v>0</v>
      </c>
      <c r="V28" s="276">
        <f t="shared" si="71"/>
        <v>0</v>
      </c>
      <c r="W28" s="276">
        <f t="shared" ref="W28:AG29" si="72">W6+W10+W13+W16+W19+W22+1%*W6</f>
        <v>0</v>
      </c>
      <c r="X28" s="276">
        <f t="shared" si="72"/>
        <v>0</v>
      </c>
      <c r="Y28" s="276">
        <f t="shared" si="72"/>
        <v>0</v>
      </c>
      <c r="Z28" s="276">
        <f t="shared" si="72"/>
        <v>0</v>
      </c>
      <c r="AA28" s="276">
        <f t="shared" si="72"/>
        <v>0</v>
      </c>
      <c r="AB28" s="276">
        <f t="shared" si="72"/>
        <v>0</v>
      </c>
      <c r="AC28" s="276">
        <f t="shared" si="72"/>
        <v>0</v>
      </c>
      <c r="AD28" s="276">
        <f t="shared" si="72"/>
        <v>0</v>
      </c>
      <c r="AE28" s="276">
        <f t="shared" si="72"/>
        <v>0</v>
      </c>
      <c r="AF28" s="276">
        <f t="shared" si="72"/>
        <v>0</v>
      </c>
      <c r="AG28" s="276">
        <f t="shared" si="72"/>
        <v>0</v>
      </c>
      <c r="AH28" s="276">
        <f t="shared" ref="AH28:AI28" si="73">AH6+AH10+AH13+AH16+AH19+AH22+1%*AH6</f>
        <v>0</v>
      </c>
      <c r="AI28" s="276">
        <f t="shared" si="73"/>
        <v>0</v>
      </c>
    </row>
    <row r="29" spans="1:35" x14ac:dyDescent="0.25">
      <c r="B29" s="273" t="s">
        <v>321</v>
      </c>
      <c r="C29" s="272" t="s">
        <v>316</v>
      </c>
      <c r="D29" s="275">
        <f t="shared" si="6"/>
        <v>192863743.98594648</v>
      </c>
      <c r="E29" s="272"/>
      <c r="F29" s="276">
        <f>F7+F11+F14+F17+F20+F23+0.8472273%*F7</f>
        <v>417023.93562718062</v>
      </c>
      <c r="G29" s="276">
        <f t="shared" ref="G29:V29" si="74">G7+G11+G14+G17+G20+G23+0.8472273%*G7</f>
        <v>2085119.6781359033</v>
      </c>
      <c r="H29" s="276">
        <f t="shared" si="74"/>
        <v>12510718.068815419</v>
      </c>
      <c r="I29" s="276">
        <f t="shared" si="74"/>
        <v>14595837.746951325</v>
      </c>
      <c r="J29" s="276">
        <f t="shared" si="74"/>
        <v>8340478.7125436133</v>
      </c>
      <c r="K29" s="276">
        <f t="shared" si="74"/>
        <v>2085119.6781359033</v>
      </c>
      <c r="L29" s="276">
        <f t="shared" si="74"/>
        <v>1668095.7425087225</v>
      </c>
      <c r="M29" s="276">
        <f t="shared" si="74"/>
        <v>5518866.8676985148</v>
      </c>
      <c r="N29" s="276">
        <f t="shared" si="74"/>
        <v>5518866.8676985148</v>
      </c>
      <c r="O29" s="276">
        <f t="shared" si="74"/>
        <v>5518866.8676985148</v>
      </c>
      <c r="P29" s="276">
        <f t="shared" si="74"/>
        <v>5518866.8676985148</v>
      </c>
      <c r="Q29" s="276">
        <f t="shared" si="74"/>
        <v>5518866.8676985148</v>
      </c>
      <c r="R29" s="276">
        <f t="shared" si="74"/>
        <v>5518866.8676985148</v>
      </c>
      <c r="S29" s="276">
        <f t="shared" si="74"/>
        <v>5518866.8676985148</v>
      </c>
      <c r="T29" s="276">
        <f t="shared" si="74"/>
        <v>15374556.463767618</v>
      </c>
      <c r="U29" s="276">
        <f t="shared" si="74"/>
        <v>15374556.463767618</v>
      </c>
      <c r="V29" s="276">
        <f t="shared" si="74"/>
        <v>15374556.463767618</v>
      </c>
      <c r="W29" s="276">
        <f t="shared" si="72"/>
        <v>16601403.239508996</v>
      </c>
      <c r="X29" s="276">
        <f t="shared" si="72"/>
        <v>16601403.239508996</v>
      </c>
      <c r="Y29" s="276">
        <f t="shared" si="72"/>
        <v>16601403.239508996</v>
      </c>
      <c r="Z29" s="276">
        <f t="shared" si="72"/>
        <v>16601403.239508996</v>
      </c>
      <c r="AA29" s="276">
        <f t="shared" si="72"/>
        <v>0</v>
      </c>
      <c r="AB29" s="276">
        <f t="shared" si="72"/>
        <v>0</v>
      </c>
      <c r="AC29" s="276">
        <f t="shared" si="72"/>
        <v>0</v>
      </c>
      <c r="AD29" s="276">
        <f t="shared" si="72"/>
        <v>0</v>
      </c>
      <c r="AE29" s="276">
        <f t="shared" si="72"/>
        <v>0</v>
      </c>
      <c r="AF29" s="276">
        <f t="shared" si="72"/>
        <v>0</v>
      </c>
      <c r="AG29" s="276">
        <f t="shared" si="72"/>
        <v>0</v>
      </c>
      <c r="AH29" s="276">
        <f t="shared" ref="AH29:AI29" si="75">AH7+AH11+AH14+AH17+AH20+AH23+1%*AH7</f>
        <v>0</v>
      </c>
      <c r="AI29" s="276">
        <f t="shared" si="75"/>
        <v>0</v>
      </c>
    </row>
    <row r="30" spans="1:35" x14ac:dyDescent="0.25">
      <c r="B30" s="31"/>
      <c r="C30" s="354"/>
      <c r="D30" s="95"/>
      <c r="E30" s="31"/>
      <c r="F30" s="334"/>
      <c r="G30" s="334"/>
      <c r="H30" s="334"/>
      <c r="I30" s="334"/>
      <c r="J30" s="334"/>
      <c r="K30" s="334"/>
      <c r="L30" s="334"/>
      <c r="M30" s="334"/>
      <c r="N30" s="334"/>
      <c r="O30" s="334"/>
      <c r="P30" s="334"/>
      <c r="Q30" s="334"/>
      <c r="R30" s="334"/>
      <c r="S30" s="334"/>
      <c r="T30" s="334"/>
      <c r="U30" s="334"/>
      <c r="V30" s="334"/>
      <c r="W30" s="334"/>
      <c r="X30" s="334"/>
      <c r="Y30" s="334"/>
      <c r="Z30" s="334"/>
      <c r="AA30" s="334"/>
      <c r="AB30" s="334"/>
      <c r="AC30" s="334"/>
      <c r="AD30" s="334"/>
      <c r="AE30" s="334"/>
      <c r="AF30" s="334"/>
      <c r="AG30" s="334"/>
      <c r="AH30" s="31"/>
      <c r="AI30" s="31"/>
    </row>
    <row r="31" spans="1:35" ht="15" customHeight="1" x14ac:dyDescent="0.25">
      <c r="B31" s="703" t="s">
        <v>531</v>
      </c>
      <c r="C31" s="705" t="s">
        <v>272</v>
      </c>
      <c r="D31" s="700" t="s">
        <v>303</v>
      </c>
      <c r="E31" s="700">
        <v>2027</v>
      </c>
      <c r="F31" s="700">
        <f>E31+1</f>
        <v>2028</v>
      </c>
      <c r="G31" s="700">
        <f t="shared" ref="G31:AG31" si="76">F31+1</f>
        <v>2029</v>
      </c>
      <c r="H31" s="700">
        <f t="shared" si="76"/>
        <v>2030</v>
      </c>
      <c r="I31" s="700">
        <f t="shared" si="76"/>
        <v>2031</v>
      </c>
      <c r="J31" s="700">
        <f t="shared" si="76"/>
        <v>2032</v>
      </c>
      <c r="K31" s="700">
        <f t="shared" si="76"/>
        <v>2033</v>
      </c>
      <c r="L31" s="700">
        <f t="shared" si="76"/>
        <v>2034</v>
      </c>
      <c r="M31" s="700">
        <f t="shared" si="76"/>
        <v>2035</v>
      </c>
      <c r="N31" s="700">
        <f t="shared" si="76"/>
        <v>2036</v>
      </c>
      <c r="O31" s="700">
        <f t="shared" si="76"/>
        <v>2037</v>
      </c>
      <c r="P31" s="700">
        <f t="shared" si="76"/>
        <v>2038</v>
      </c>
      <c r="Q31" s="700">
        <f t="shared" si="76"/>
        <v>2039</v>
      </c>
      <c r="R31" s="700">
        <f t="shared" si="76"/>
        <v>2040</v>
      </c>
      <c r="S31" s="700">
        <f t="shared" si="76"/>
        <v>2041</v>
      </c>
      <c r="T31" s="700">
        <f t="shared" si="76"/>
        <v>2042</v>
      </c>
      <c r="U31" s="700">
        <f t="shared" si="76"/>
        <v>2043</v>
      </c>
      <c r="V31" s="700">
        <f t="shared" si="76"/>
        <v>2044</v>
      </c>
      <c r="W31" s="700">
        <f t="shared" si="76"/>
        <v>2045</v>
      </c>
      <c r="X31" s="700">
        <f t="shared" si="76"/>
        <v>2046</v>
      </c>
      <c r="Y31" s="700">
        <f t="shared" si="76"/>
        <v>2047</v>
      </c>
      <c r="Z31" s="700">
        <f t="shared" si="76"/>
        <v>2048</v>
      </c>
      <c r="AA31" s="700">
        <f t="shared" si="76"/>
        <v>2049</v>
      </c>
      <c r="AB31" s="700">
        <f t="shared" si="76"/>
        <v>2050</v>
      </c>
      <c r="AC31" s="700">
        <f t="shared" si="76"/>
        <v>2051</v>
      </c>
      <c r="AD31" s="700">
        <f t="shared" si="76"/>
        <v>2052</v>
      </c>
      <c r="AE31" s="700">
        <f t="shared" si="76"/>
        <v>2053</v>
      </c>
      <c r="AF31" s="700">
        <f t="shared" si="76"/>
        <v>2054</v>
      </c>
      <c r="AG31" s="700">
        <f t="shared" si="76"/>
        <v>2055</v>
      </c>
      <c r="AH31" s="700">
        <v>2042</v>
      </c>
      <c r="AI31" s="700">
        <v>2043</v>
      </c>
    </row>
    <row r="32" spans="1:35" ht="15" customHeight="1" x14ac:dyDescent="0.25">
      <c r="B32" s="704"/>
      <c r="C32" s="705"/>
      <c r="D32" s="700"/>
      <c r="E32" s="700"/>
      <c r="F32" s="700"/>
      <c r="G32" s="700"/>
      <c r="H32" s="700"/>
      <c r="I32" s="700"/>
      <c r="J32" s="700"/>
      <c r="K32" s="700"/>
      <c r="L32" s="700"/>
      <c r="M32" s="700"/>
      <c r="N32" s="700"/>
      <c r="O32" s="700"/>
      <c r="P32" s="700"/>
      <c r="Q32" s="700"/>
      <c r="R32" s="700"/>
      <c r="S32" s="700"/>
      <c r="T32" s="700"/>
      <c r="U32" s="700"/>
      <c r="V32" s="700"/>
      <c r="W32" s="700"/>
      <c r="X32" s="700"/>
      <c r="Y32" s="700"/>
      <c r="Z32" s="700"/>
      <c r="AA32" s="700"/>
      <c r="AB32" s="700"/>
      <c r="AC32" s="700"/>
      <c r="AD32" s="700"/>
      <c r="AE32" s="700"/>
      <c r="AF32" s="700"/>
      <c r="AG32" s="700"/>
      <c r="AH32" s="700"/>
      <c r="AI32" s="700"/>
    </row>
    <row r="33" spans="2:35" ht="15" customHeight="1" thickBot="1" x14ac:dyDescent="0.3">
      <c r="B33" s="490" t="s">
        <v>340</v>
      </c>
      <c r="C33" s="34" t="s">
        <v>316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186"/>
      <c r="AH33" s="34"/>
      <c r="AI33" s="34"/>
    </row>
    <row r="34" spans="2:35" x14ac:dyDescent="0.25">
      <c r="B34" s="98" t="s">
        <v>302</v>
      </c>
      <c r="C34" s="92"/>
      <c r="D34" s="187">
        <f t="shared" ref="D34:D36" si="77">SUM(E34:AG34)</f>
        <v>4184730.6875073016</v>
      </c>
      <c r="E34" s="92"/>
      <c r="F34" s="92"/>
      <c r="G34" s="92"/>
      <c r="H34" s="92"/>
      <c r="I34" s="92"/>
      <c r="J34" s="92"/>
      <c r="K34" s="92"/>
      <c r="L34" s="92"/>
      <c r="M34" s="188">
        <f>F6*5%</f>
        <v>4864.592634630545</v>
      </c>
      <c r="N34" s="188">
        <f t="shared" ref="N34:AC35" si="78">G6*5%</f>
        <v>24322.963173152722</v>
      </c>
      <c r="O34" s="188">
        <f t="shared" si="78"/>
        <v>145937.77903891631</v>
      </c>
      <c r="P34" s="188">
        <f t="shared" si="78"/>
        <v>170260.74221206905</v>
      </c>
      <c r="Q34" s="188">
        <f t="shared" si="78"/>
        <v>97291.85269261089</v>
      </c>
      <c r="R34" s="188">
        <f t="shared" si="78"/>
        <v>24322.963173152722</v>
      </c>
      <c r="S34" s="188">
        <f t="shared" si="78"/>
        <v>19458.37053852218</v>
      </c>
      <c r="T34" s="188">
        <f t="shared" si="78"/>
        <v>528324.48914917815</v>
      </c>
      <c r="U34" s="188">
        <f t="shared" si="78"/>
        <v>528324.48914917815</v>
      </c>
      <c r="V34" s="188">
        <f t="shared" si="78"/>
        <v>528324.48914917815</v>
      </c>
      <c r="W34" s="188">
        <f t="shared" si="78"/>
        <v>528324.48914917815</v>
      </c>
      <c r="X34" s="188">
        <f t="shared" si="78"/>
        <v>528324.48914917815</v>
      </c>
      <c r="Y34" s="188">
        <f t="shared" si="78"/>
        <v>528324.48914917815</v>
      </c>
      <c r="Z34" s="188">
        <f t="shared" si="78"/>
        <v>528324.48914917815</v>
      </c>
      <c r="AA34" s="188">
        <f t="shared" si="78"/>
        <v>0</v>
      </c>
      <c r="AB34" s="188">
        <f t="shared" si="78"/>
        <v>0</v>
      </c>
      <c r="AC34" s="188">
        <f t="shared" si="78"/>
        <v>0</v>
      </c>
      <c r="AD34" s="188">
        <f>AC34</f>
        <v>0</v>
      </c>
      <c r="AE34" s="188">
        <f t="shared" ref="AE34:AG35" si="79">AD34</f>
        <v>0</v>
      </c>
      <c r="AF34" s="188">
        <f t="shared" si="79"/>
        <v>0</v>
      </c>
      <c r="AG34" s="188">
        <f t="shared" si="79"/>
        <v>0</v>
      </c>
      <c r="AH34" s="188">
        <f t="shared" ref="AH34:AH35" si="80">AG34</f>
        <v>0</v>
      </c>
      <c r="AI34" s="189">
        <f t="shared" ref="AI34:AI35" si="81">AH34</f>
        <v>0</v>
      </c>
    </row>
    <row r="35" spans="2:35" x14ac:dyDescent="0.25">
      <c r="B35" s="32" t="s">
        <v>321</v>
      </c>
      <c r="C35" s="31"/>
      <c r="D35" s="95">
        <f t="shared" si="77"/>
        <v>8283867.3697131891</v>
      </c>
      <c r="E35" s="31"/>
      <c r="F35" s="31"/>
      <c r="G35" s="31"/>
      <c r="H35" s="31"/>
      <c r="I35" s="31"/>
      <c r="J35" s="31"/>
      <c r="K35" s="31"/>
      <c r="L35" s="31"/>
      <c r="M35" s="81">
        <f>F7*5%</f>
        <v>18379.64424306299</v>
      </c>
      <c r="N35" s="81">
        <f t="shared" si="78"/>
        <v>91898.221215314945</v>
      </c>
      <c r="O35" s="81">
        <f t="shared" si="78"/>
        <v>551389.32729188958</v>
      </c>
      <c r="P35" s="81">
        <f t="shared" si="78"/>
        <v>643287.54850720463</v>
      </c>
      <c r="Q35" s="81">
        <f t="shared" si="78"/>
        <v>367592.88486125978</v>
      </c>
      <c r="R35" s="81">
        <f t="shared" si="78"/>
        <v>91898.221215314945</v>
      </c>
      <c r="S35" s="81">
        <f t="shared" si="78"/>
        <v>73518.576972251962</v>
      </c>
      <c r="T35" s="81">
        <f t="shared" si="78"/>
        <v>243234.9824251066</v>
      </c>
      <c r="U35" s="81">
        <f t="shared" si="78"/>
        <v>243234.9824251066</v>
      </c>
      <c r="V35" s="81">
        <f t="shared" si="78"/>
        <v>243234.9824251066</v>
      </c>
      <c r="W35" s="81">
        <f t="shared" si="78"/>
        <v>243234.9824251066</v>
      </c>
      <c r="X35" s="81">
        <f t="shared" si="78"/>
        <v>243234.9824251066</v>
      </c>
      <c r="Y35" s="81">
        <f t="shared" si="78"/>
        <v>243234.9824251066</v>
      </c>
      <c r="Z35" s="81">
        <f t="shared" si="78"/>
        <v>243234.9824251066</v>
      </c>
      <c r="AA35" s="81">
        <f t="shared" si="78"/>
        <v>677608.29549016303</v>
      </c>
      <c r="AB35" s="81">
        <f t="shared" si="78"/>
        <v>677608.29549016303</v>
      </c>
      <c r="AC35" s="81">
        <f t="shared" si="78"/>
        <v>677608.29549016303</v>
      </c>
      <c r="AD35" s="81">
        <f>AC35</f>
        <v>677608.29549016303</v>
      </c>
      <c r="AE35" s="81">
        <f t="shared" si="79"/>
        <v>677608.29549016303</v>
      </c>
      <c r="AF35" s="81">
        <f t="shared" si="79"/>
        <v>677608.29549016303</v>
      </c>
      <c r="AG35" s="81">
        <f t="shared" si="79"/>
        <v>677608.29549016303</v>
      </c>
      <c r="AH35" s="81">
        <f t="shared" si="80"/>
        <v>677608.29549016303</v>
      </c>
      <c r="AI35" s="100">
        <f t="shared" si="81"/>
        <v>677608.29549016303</v>
      </c>
    </row>
    <row r="36" spans="2:35" ht="15.75" thickBot="1" x14ac:dyDescent="0.3">
      <c r="B36" s="78" t="s">
        <v>339</v>
      </c>
      <c r="C36" s="93"/>
      <c r="D36" s="190">
        <f t="shared" si="77"/>
        <v>12468598.057220485</v>
      </c>
      <c r="E36" s="93"/>
      <c r="F36" s="93"/>
      <c r="G36" s="93"/>
      <c r="H36" s="93"/>
      <c r="I36" s="93"/>
      <c r="J36" s="93"/>
      <c r="K36" s="93"/>
      <c r="L36" s="93"/>
      <c r="M36" s="85">
        <f>SUM(M34:M35)</f>
        <v>23244.236877693536</v>
      </c>
      <c r="N36" s="85">
        <f t="shared" ref="N36:AI36" si="82">SUM(N34:N35)</f>
        <v>116221.18438846766</v>
      </c>
      <c r="O36" s="85">
        <f t="shared" si="82"/>
        <v>697327.10633080592</v>
      </c>
      <c r="P36" s="85">
        <f t="shared" si="82"/>
        <v>813548.29071927373</v>
      </c>
      <c r="Q36" s="85">
        <f t="shared" si="82"/>
        <v>464884.73755387065</v>
      </c>
      <c r="R36" s="85">
        <f t="shared" si="82"/>
        <v>116221.18438846766</v>
      </c>
      <c r="S36" s="85">
        <f t="shared" si="82"/>
        <v>92976.947510774145</v>
      </c>
      <c r="T36" s="85">
        <f t="shared" si="82"/>
        <v>771559.47157428472</v>
      </c>
      <c r="U36" s="85">
        <f t="shared" si="82"/>
        <v>771559.47157428472</v>
      </c>
      <c r="V36" s="85">
        <f t="shared" si="82"/>
        <v>771559.47157428472</v>
      </c>
      <c r="W36" s="85">
        <f t="shared" si="82"/>
        <v>771559.47157428472</v>
      </c>
      <c r="X36" s="85">
        <f t="shared" si="82"/>
        <v>771559.47157428472</v>
      </c>
      <c r="Y36" s="85">
        <f t="shared" si="82"/>
        <v>771559.47157428472</v>
      </c>
      <c r="Z36" s="85">
        <f t="shared" si="82"/>
        <v>771559.47157428472</v>
      </c>
      <c r="AA36" s="85">
        <f t="shared" si="82"/>
        <v>677608.29549016303</v>
      </c>
      <c r="AB36" s="85">
        <f t="shared" si="82"/>
        <v>677608.29549016303</v>
      </c>
      <c r="AC36" s="85">
        <f t="shared" si="82"/>
        <v>677608.29549016303</v>
      </c>
      <c r="AD36" s="85">
        <f t="shared" si="82"/>
        <v>677608.29549016303</v>
      </c>
      <c r="AE36" s="85">
        <f t="shared" si="82"/>
        <v>677608.29549016303</v>
      </c>
      <c r="AF36" s="85">
        <f t="shared" si="82"/>
        <v>677608.29549016303</v>
      </c>
      <c r="AG36" s="85">
        <f t="shared" si="82"/>
        <v>677608.29549016303</v>
      </c>
      <c r="AH36" s="85">
        <f t="shared" si="82"/>
        <v>677608.29549016303</v>
      </c>
      <c r="AI36" s="86">
        <f t="shared" si="82"/>
        <v>677608.29549016303</v>
      </c>
    </row>
    <row r="38" spans="2:35" x14ac:dyDescent="0.25">
      <c r="C38" s="356"/>
      <c r="D38" s="184"/>
      <c r="E38" s="357"/>
    </row>
    <row r="39" spans="2:35" x14ac:dyDescent="0.25">
      <c r="E39" s="357"/>
    </row>
    <row r="40" spans="2:35" ht="15.75" thickBot="1" x14ac:dyDescent="0.3"/>
    <row r="41" spans="2:35" ht="32.25" thickBot="1" x14ac:dyDescent="0.3">
      <c r="B41" s="492" t="s">
        <v>613</v>
      </c>
      <c r="C41" s="226" t="s">
        <v>302</v>
      </c>
      <c r="D41" s="224" t="s">
        <v>19</v>
      </c>
      <c r="E41" s="225" t="s">
        <v>303</v>
      </c>
      <c r="G41" s="512" t="s">
        <v>515</v>
      </c>
      <c r="H41" s="226" t="s">
        <v>302</v>
      </c>
      <c r="I41" s="224" t="s">
        <v>19</v>
      </c>
      <c r="J41" s="225" t="s">
        <v>303</v>
      </c>
      <c r="L41" s="223" t="s">
        <v>516</v>
      </c>
      <c r="M41" s="226" t="s">
        <v>302</v>
      </c>
      <c r="N41" s="224" t="s">
        <v>19</v>
      </c>
      <c r="O41" s="225" t="s">
        <v>303</v>
      </c>
    </row>
    <row r="42" spans="2:35" x14ac:dyDescent="0.25">
      <c r="B42" s="71" t="s">
        <v>527</v>
      </c>
      <c r="C42" s="70">
        <f>'Investitii-constante'!C51*'Indice Inflatie-COVASNA'!I10</f>
        <v>9729185.2692610882</v>
      </c>
      <c r="D42" s="70">
        <f>'Investitii-constante'!D51*'Indice Inflatie-COVASNA'!I10</f>
        <v>36759288.486125976</v>
      </c>
      <c r="E42" s="265">
        <f>C42+D42</f>
        <v>46488473.755387068</v>
      </c>
      <c r="G42" s="71" t="s">
        <v>527</v>
      </c>
      <c r="H42" s="262">
        <f>SUM('O&amp;M costs-old'!H32:N32)</f>
        <v>54856405.326474346</v>
      </c>
      <c r="I42" s="263">
        <f>SUM('O&amp;M costs-old'!H57:N57)</f>
        <v>42385067.616633311</v>
      </c>
      <c r="J42" s="264">
        <f>H42+I42</f>
        <v>97241472.943107665</v>
      </c>
      <c r="K42" s="214"/>
      <c r="L42" s="69"/>
      <c r="M42" s="31"/>
      <c r="N42" s="31"/>
      <c r="O42" s="31"/>
    </row>
    <row r="43" spans="2:35" x14ac:dyDescent="0.25">
      <c r="B43" s="32" t="s">
        <v>528</v>
      </c>
      <c r="C43" s="70">
        <f>'Investitii-constante'!C52*'Indice Inflatie-COVASNA'!I10</f>
        <v>73965428.480884939</v>
      </c>
      <c r="D43" s="70">
        <f>'Investitii-constante'!D52*'Indice Inflatie-COVASNA'!I10</f>
        <v>34052897.539514922</v>
      </c>
      <c r="E43" s="265">
        <f t="shared" ref="E43:E45" si="83">C43+D43</f>
        <v>108018326.02039987</v>
      </c>
      <c r="G43" s="32" t="s">
        <v>528</v>
      </c>
      <c r="H43" s="197">
        <f>SUM('O&amp;M costs-old'!O32:S32)</f>
        <v>43113094.049907804</v>
      </c>
      <c r="I43" s="69">
        <f>SUM('O&amp;M costs-old'!O57:S57)</f>
        <v>40249195.409135416</v>
      </c>
      <c r="J43" s="264">
        <f t="shared" ref="J43:J44" si="84">H43+I43</f>
        <v>83362289.45904322</v>
      </c>
      <c r="K43" s="214"/>
      <c r="L43" s="32" t="s">
        <v>528</v>
      </c>
      <c r="M43" s="82">
        <f>SUM(M34:Q34)</f>
        <v>442677.92975137947</v>
      </c>
      <c r="N43" s="82">
        <f>SUM(M35:Q35)</f>
        <v>1672547.6261187317</v>
      </c>
      <c r="O43" s="261">
        <f>M43+N43</f>
        <v>2115225.5558701111</v>
      </c>
    </row>
    <row r="44" spans="2:35" x14ac:dyDescent="0.25">
      <c r="B44" s="32" t="s">
        <v>529</v>
      </c>
      <c r="C44" s="70">
        <f>'Investitii-constante'!C53</f>
        <v>15782049.5</v>
      </c>
      <c r="D44" s="70">
        <f>'Investitii-constante'!D53*'Indice Inflatie-COVASNA'!I10</f>
        <v>94865161.368622825</v>
      </c>
      <c r="E44" s="265">
        <f t="shared" si="83"/>
        <v>110647210.86862282</v>
      </c>
      <c r="G44" s="32" t="s">
        <v>529</v>
      </c>
      <c r="H44" s="197">
        <f>SUM('O&amp;M costs-old'!T32:X32)</f>
        <v>44825309.637139454</v>
      </c>
      <c r="I44" s="69">
        <f>SUM('O&amp;M costs-old'!T57:X57)</f>
        <v>44606540.829667091</v>
      </c>
      <c r="J44" s="264">
        <f t="shared" si="84"/>
        <v>89431850.466806546</v>
      </c>
      <c r="L44" s="32" t="s">
        <v>529</v>
      </c>
      <c r="M44" s="82">
        <f>SUM(R34:V34)</f>
        <v>1628754.8011592093</v>
      </c>
      <c r="N44" s="82">
        <f>SUM(R36:V36)</f>
        <v>2523876.5466220961</v>
      </c>
      <c r="O44" s="261">
        <f>M44+N44</f>
        <v>4152631.3477813052</v>
      </c>
    </row>
    <row r="45" spans="2:35" hidden="1" x14ac:dyDescent="0.25">
      <c r="B45" s="32" t="s">
        <v>530</v>
      </c>
      <c r="C45" s="70">
        <f>'Investitii-constante'!C54</f>
        <v>0</v>
      </c>
      <c r="D45" s="70">
        <f>'Investitii-constante'!D54</f>
        <v>2124100</v>
      </c>
      <c r="E45" s="265">
        <f t="shared" si="83"/>
        <v>2124100</v>
      </c>
      <c r="G45" s="184"/>
      <c r="H45" s="184"/>
    </row>
    <row r="46" spans="2:35" ht="15.75" thickBot="1" x14ac:dyDescent="0.3">
      <c r="B46" s="73" t="s">
        <v>303</v>
      </c>
      <c r="C46" s="74">
        <f>SUM(C42:C45)</f>
        <v>99476663.250146031</v>
      </c>
      <c r="D46" s="74">
        <f t="shared" ref="D46:E46" si="85">SUM(D42:D45)</f>
        <v>167801447.39426374</v>
      </c>
      <c r="E46" s="75">
        <f t="shared" si="85"/>
        <v>267278110.64440978</v>
      </c>
      <c r="G46" s="358"/>
      <c r="H46" s="358"/>
      <c r="I46" s="359"/>
      <c r="J46" s="218"/>
      <c r="K46" s="218"/>
      <c r="L46" s="218"/>
      <c r="M46" s="218"/>
    </row>
    <row r="47" spans="2:35" ht="15.75" thickBot="1" x14ac:dyDescent="0.3">
      <c r="G47" s="360"/>
      <c r="H47" s="218"/>
      <c r="I47" s="218"/>
      <c r="J47" s="218"/>
      <c r="K47" s="358"/>
      <c r="L47" s="361"/>
      <c r="M47" s="218"/>
    </row>
    <row r="48" spans="2:35" ht="30.75" thickBot="1" x14ac:dyDescent="0.3">
      <c r="B48" s="223" t="s">
        <v>338</v>
      </c>
      <c r="C48" s="226" t="s">
        <v>302</v>
      </c>
      <c r="D48" s="224" t="s">
        <v>19</v>
      </c>
      <c r="E48" s="225" t="s">
        <v>303</v>
      </c>
      <c r="G48" s="218"/>
      <c r="H48" s="218"/>
      <c r="I48" s="218"/>
      <c r="J48" s="218"/>
      <c r="K48" s="362"/>
      <c r="L48" s="218"/>
      <c r="M48" s="218"/>
    </row>
    <row r="49" spans="2:14" x14ac:dyDescent="0.25">
      <c r="B49" s="71" t="s">
        <v>527</v>
      </c>
      <c r="C49" s="520">
        <f>C42/AVERAGE('O&amp;M costs-old'!H34:N34)</f>
        <v>20.054193887162981</v>
      </c>
      <c r="D49" s="520">
        <f>D42/AVERAGE('O&amp;M costs-old'!H59:N59)</f>
        <v>102.48494413668469</v>
      </c>
      <c r="E49" s="484">
        <f>ROUNDUP((C49+D49),2)</f>
        <v>122.54</v>
      </c>
      <c r="G49" s="218"/>
      <c r="H49" s="218"/>
      <c r="I49" s="218"/>
      <c r="J49" s="218"/>
      <c r="K49" s="218"/>
      <c r="L49" s="218"/>
      <c r="M49" s="218"/>
    </row>
    <row r="50" spans="2:14" x14ac:dyDescent="0.25">
      <c r="B50" s="32" t="s">
        <v>528</v>
      </c>
      <c r="C50" s="521">
        <f>C43/AVERAGE('O&amp;M costs-old'!O34:S34)</f>
        <v>138.09450783422179</v>
      </c>
      <c r="D50" s="521">
        <f>D43/AVERAGE('O&amp;M costs-old'!O59:S59)</f>
        <v>70.264973101165481</v>
      </c>
      <c r="E50" s="486">
        <f>C50+D50</f>
        <v>208.35948093538727</v>
      </c>
      <c r="G50" s="358"/>
      <c r="H50" s="218"/>
      <c r="I50" s="218"/>
      <c r="J50" s="218"/>
      <c r="K50" s="218"/>
      <c r="L50" s="218"/>
      <c r="M50" s="218"/>
    </row>
    <row r="51" spans="2:14" x14ac:dyDescent="0.25">
      <c r="B51" s="32" t="s">
        <v>529</v>
      </c>
      <c r="C51" s="521">
        <f>C44/AVERAGE('O&amp;M costs-old'!T34:X34)</f>
        <v>28.622026189385853</v>
      </c>
      <c r="D51" s="521">
        <f>D44/AVERAGE('O&amp;M costs-old'!T59:X59)</f>
        <v>179.04945290386942</v>
      </c>
      <c r="E51" s="486">
        <f>C51+D51</f>
        <v>207.67147909325527</v>
      </c>
      <c r="G51" s="358"/>
      <c r="H51" s="218"/>
      <c r="I51" s="359"/>
      <c r="J51" s="359"/>
      <c r="K51" s="218"/>
      <c r="L51" s="218"/>
      <c r="M51" s="218"/>
    </row>
    <row r="52" spans="2:14" hidden="1" x14ac:dyDescent="0.25">
      <c r="B52" s="32" t="s">
        <v>530</v>
      </c>
      <c r="C52" s="485">
        <v>0</v>
      </c>
      <c r="D52" s="485">
        <v>0</v>
      </c>
      <c r="E52" s="487">
        <v>0</v>
      </c>
      <c r="G52" s="218"/>
      <c r="H52" s="218"/>
      <c r="I52" s="218"/>
      <c r="J52" s="363"/>
      <c r="K52" s="364"/>
      <c r="L52" s="218"/>
      <c r="M52" s="218"/>
    </row>
    <row r="53" spans="2:14" ht="15.75" thickBot="1" x14ac:dyDescent="0.3">
      <c r="B53" s="78" t="s">
        <v>303</v>
      </c>
      <c r="C53" s="488">
        <f>SUM(C49:C51)</f>
        <v>186.77072791077063</v>
      </c>
      <c r="D53" s="488">
        <f>SUM(D49:D51)</f>
        <v>351.79937014171958</v>
      </c>
      <c r="E53" s="489">
        <f>SUM(E49:E51)</f>
        <v>538.5709600286425</v>
      </c>
      <c r="F53" s="41" t="s">
        <v>2</v>
      </c>
      <c r="G53" s="365"/>
      <c r="H53" s="218"/>
      <c r="I53" s="218"/>
      <c r="J53" s="218"/>
      <c r="K53" s="218"/>
      <c r="L53" s="218"/>
      <c r="M53" s="218"/>
      <c r="N53" s="101"/>
    </row>
    <row r="54" spans="2:14" x14ac:dyDescent="0.25">
      <c r="D54" s="522" t="s">
        <v>620</v>
      </c>
      <c r="G54" s="365"/>
      <c r="H54" s="218"/>
      <c r="I54" s="218"/>
      <c r="J54" s="218"/>
      <c r="K54" s="218"/>
      <c r="L54" s="218"/>
      <c r="M54" s="359"/>
    </row>
    <row r="55" spans="2:14" x14ac:dyDescent="0.25">
      <c r="C55" s="41" t="s">
        <v>2</v>
      </c>
      <c r="M55" s="341"/>
    </row>
    <row r="56" spans="2:14" ht="15.75" thickBot="1" x14ac:dyDescent="0.3">
      <c r="B56" s="35" t="s">
        <v>355</v>
      </c>
    </row>
    <row r="57" spans="2:14" ht="32.25" thickBot="1" x14ac:dyDescent="0.3">
      <c r="B57" s="492" t="s">
        <v>615</v>
      </c>
      <c r="C57" s="226" t="s">
        <v>302</v>
      </c>
      <c r="D57" s="224" t="s">
        <v>19</v>
      </c>
      <c r="E57" s="225" t="s">
        <v>303</v>
      </c>
      <c r="M57" s="101"/>
    </row>
    <row r="58" spans="2:14" x14ac:dyDescent="0.25">
      <c r="B58" s="71" t="s">
        <v>517</v>
      </c>
      <c r="C58" s="70">
        <f>SUM(F6:L6)</f>
        <v>9729185.2692610882</v>
      </c>
      <c r="D58" s="70">
        <f>SUM(F7:L7)</f>
        <v>36759288.486125976</v>
      </c>
      <c r="E58" s="265">
        <f>C58+D58</f>
        <v>46488473.755387068</v>
      </c>
      <c r="F58" s="174"/>
      <c r="G58" s="536">
        <f>E58/'Investitii-constante'!E67</f>
        <v>0.31857329188715938</v>
      </c>
      <c r="M58" s="101"/>
    </row>
    <row r="59" spans="2:14" x14ac:dyDescent="0.25">
      <c r="B59" s="32" t="s">
        <v>350</v>
      </c>
      <c r="C59" s="69">
        <f>SUM(F10:L10)</f>
        <v>243229.63173152719</v>
      </c>
      <c r="D59" s="185">
        <f>SUM(F11:L11)</f>
        <v>918982.2121531493</v>
      </c>
      <c r="E59" s="72">
        <f t="shared" ref="E59:E64" si="86">C59+D59</f>
        <v>1162211.8438846765</v>
      </c>
    </row>
    <row r="60" spans="2:14" x14ac:dyDescent="0.25">
      <c r="B60" s="32" t="s">
        <v>518</v>
      </c>
      <c r="C60" s="69">
        <f>SUM(F13:L13)</f>
        <v>194583.70538522181</v>
      </c>
      <c r="D60" s="69">
        <f>SUM(F14:L14)</f>
        <v>735185.76972251968</v>
      </c>
      <c r="E60" s="72">
        <f t="shared" si="86"/>
        <v>929769.47510774154</v>
      </c>
    </row>
    <row r="61" spans="2:14" x14ac:dyDescent="0.25">
      <c r="B61" s="32" t="s">
        <v>351</v>
      </c>
      <c r="C61" s="69">
        <f>SUM(F16:L16)</f>
        <v>243229.63173152719</v>
      </c>
      <c r="D61" s="69">
        <f>SUM(F17:L17)</f>
        <v>918982.2121531493</v>
      </c>
      <c r="E61" s="72">
        <f t="shared" si="86"/>
        <v>1162211.8438846765</v>
      </c>
    </row>
    <row r="62" spans="2:14" x14ac:dyDescent="0.25">
      <c r="B62" s="32" t="s">
        <v>352</v>
      </c>
      <c r="C62" s="69">
        <f>SUM(F19:L19)</f>
        <v>58375.11161556653</v>
      </c>
      <c r="D62" s="69">
        <f>SUM(F20:L20)</f>
        <v>220555.73091675589</v>
      </c>
      <c r="E62" s="72">
        <f t="shared" si="86"/>
        <v>278930.84253232239</v>
      </c>
    </row>
    <row r="63" spans="2:14" x14ac:dyDescent="0.25">
      <c r="B63" s="32" t="s">
        <v>519</v>
      </c>
      <c r="C63" s="69">
        <f>SUM(F25:L25)</f>
        <v>82698.074788719241</v>
      </c>
      <c r="D63" s="69">
        <f>SUM(F26:L26)</f>
        <v>312453.95213207084</v>
      </c>
      <c r="E63" s="72">
        <f>SUM(F24:L24)</f>
        <v>395152.02692079009</v>
      </c>
      <c r="F63" s="101" t="s">
        <v>2</v>
      </c>
    </row>
    <row r="64" spans="2:14" x14ac:dyDescent="0.25">
      <c r="B64" s="33" t="s">
        <v>353</v>
      </c>
      <c r="C64" s="99">
        <f>SUM(F22:L22)</f>
        <v>486459.26346305438</v>
      </c>
      <c r="D64" s="99">
        <f>SUM(F23:L23)</f>
        <v>1837964.4243062986</v>
      </c>
      <c r="E64" s="72">
        <f t="shared" si="86"/>
        <v>2324423.6877693529</v>
      </c>
    </row>
    <row r="65" spans="1:5" ht="15.75" thickBot="1" x14ac:dyDescent="0.3">
      <c r="B65" s="73" t="s">
        <v>303</v>
      </c>
      <c r="C65" s="74">
        <f>SUM(C58:C64)</f>
        <v>11037760.687976703</v>
      </c>
      <c r="D65" s="74">
        <f t="shared" ref="D65" si="87">SUM(D58:D64)</f>
        <v>41703412.787509918</v>
      </c>
      <c r="E65" s="75">
        <f>SUM(E58:E64)</f>
        <v>52741173.475486629</v>
      </c>
    </row>
    <row r="68" spans="1:5" s="214" customFormat="1" x14ac:dyDescent="0.25">
      <c r="A68" s="494"/>
      <c r="C68" s="359"/>
      <c r="D68" s="359"/>
      <c r="E68" s="358"/>
    </row>
    <row r="69" spans="1:5" s="214" customFormat="1" x14ac:dyDescent="0.25">
      <c r="A69" s="494"/>
      <c r="C69" s="359"/>
      <c r="D69" s="359"/>
      <c r="E69" s="358"/>
    </row>
    <row r="70" spans="1:5" s="214" customFormat="1" x14ac:dyDescent="0.25">
      <c r="A70" s="494"/>
      <c r="C70" s="359"/>
      <c r="D70" s="359"/>
      <c r="E70" s="358"/>
    </row>
    <row r="71" spans="1:5" s="214" customFormat="1" x14ac:dyDescent="0.25">
      <c r="A71" s="494"/>
      <c r="C71" s="359"/>
      <c r="D71" s="359"/>
      <c r="E71" s="358"/>
    </row>
    <row r="72" spans="1:5" s="214" customFormat="1" x14ac:dyDescent="0.25">
      <c r="A72" s="494"/>
      <c r="C72" s="359"/>
      <c r="D72" s="359"/>
      <c r="E72" s="358"/>
    </row>
    <row r="73" spans="1:5" s="214" customFormat="1" x14ac:dyDescent="0.25">
      <c r="A73" s="494"/>
      <c r="B73" s="495"/>
      <c r="C73" s="358"/>
      <c r="D73" s="358"/>
      <c r="E73" s="358"/>
    </row>
    <row r="76" spans="1:5" x14ac:dyDescent="0.25">
      <c r="B76" s="374" t="s">
        <v>542</v>
      </c>
      <c r="C76" s="69">
        <f>'[11]7.3.3.'!$O$148+'[11]7.3.3.'!$O$149+'[11]7.3.3.'!$O$150+'[11]7.3.3.'!$O$151</f>
        <v>1245991</v>
      </c>
      <c r="D76" s="31" t="s">
        <v>534</v>
      </c>
    </row>
    <row r="77" spans="1:5" x14ac:dyDescent="0.25">
      <c r="B77" s="31"/>
      <c r="C77" s="69">
        <f>'[11]7.3.3.'!$O$233+'[11]7.3.3.'!$O$238</f>
        <v>8834109</v>
      </c>
      <c r="D77" s="31" t="s">
        <v>535</v>
      </c>
    </row>
    <row r="78" spans="1:5" s="371" customFormat="1" x14ac:dyDescent="0.25">
      <c r="A78" s="172"/>
      <c r="B78" s="31"/>
      <c r="C78" s="69">
        <f>'[11]7.3.3.'!$O$221+'[11]7.3.3.'!$O$222</f>
        <v>86089</v>
      </c>
      <c r="D78" s="31" t="s">
        <v>537</v>
      </c>
    </row>
    <row r="79" spans="1:5" x14ac:dyDescent="0.25">
      <c r="B79" s="31"/>
      <c r="C79" s="69">
        <f>SUM('[11]7.3.3.'!$O$256:$O$263)+'[11]7.3.3.'!$J$270</f>
        <v>8330661</v>
      </c>
      <c r="D79" s="31" t="s">
        <v>536</v>
      </c>
    </row>
    <row r="80" spans="1:5" x14ac:dyDescent="0.25">
      <c r="B80" s="31"/>
      <c r="C80" s="69">
        <f>'[11]7.3.3.'!$J$409+'[11]7.3.3.'!$J$410</f>
        <v>903088</v>
      </c>
      <c r="D80" s="31" t="s">
        <v>538</v>
      </c>
    </row>
    <row r="81" spans="2:4" x14ac:dyDescent="0.25">
      <c r="B81" s="31"/>
      <c r="C81" s="69">
        <f>'[11]7.3.3.'!$J$430+'[11]7.3.3.'!$J$431+'[11]7.3.3.'!$J$432+'[11]7.3.3.'!$J$433</f>
        <v>1321022</v>
      </c>
      <c r="D81" s="31" t="s">
        <v>539</v>
      </c>
    </row>
    <row r="82" spans="2:4" x14ac:dyDescent="0.25">
      <c r="B82" s="31"/>
      <c r="C82" s="69">
        <f>'[11]7.3.3.'!$J$494+'[11]7.3.3.'!$J$495+'[11]7.3.3.'!$J$496+'[11]7.3.3.'!$J$499+'[11]7.3.3.'!$J$500+'[11]7.3.3.'!$J$501</f>
        <v>4375658</v>
      </c>
      <c r="D82" s="31" t="s">
        <v>540</v>
      </c>
    </row>
    <row r="83" spans="2:4" x14ac:dyDescent="0.25">
      <c r="B83" s="31"/>
      <c r="C83" s="69">
        <f>'[11]7.3.3.'!$J$560+'[11]7.3.3.'!$J$561+'[11]7.3.3.'!$J$562+'[11]7.3.3.'!$J$563</f>
        <v>1891972</v>
      </c>
      <c r="D83" s="31" t="s">
        <v>541</v>
      </c>
    </row>
    <row r="84" spans="2:4" x14ac:dyDescent="0.25">
      <c r="B84" s="31"/>
      <c r="C84" s="69">
        <f>'[11]7.3.3.'!$J$584+'[11]7.3.3.'!$J$585+'[11]7.3.3.'!$J$586+'[11]7.3.3.'!$J$587</f>
        <v>3885633</v>
      </c>
      <c r="D84" s="31" t="s">
        <v>543</v>
      </c>
    </row>
    <row r="85" spans="2:4" x14ac:dyDescent="0.25">
      <c r="B85" s="31"/>
      <c r="C85" s="69">
        <f>'[11]7.3.3.'!$J$880+'[11]7.3.3.'!$J$881+'[11]7.3.3.'!$J$890</f>
        <v>115600</v>
      </c>
      <c r="D85" s="31" t="s">
        <v>544</v>
      </c>
    </row>
    <row r="86" spans="2:4" x14ac:dyDescent="0.25">
      <c r="B86" s="31"/>
      <c r="C86" s="69">
        <f>'[11]7.3.3.'!$J$1030+'[11]7.3.3.'!$J$1031+'[11]7.3.3.'!$J$1040+'[11]7.3.3.'!$J$1041+'[11]7.3.3.'!$J$1042+'[11]7.3.3.'!$J$1046</f>
        <v>3888250</v>
      </c>
      <c r="D86" s="31" t="s">
        <v>545</v>
      </c>
    </row>
    <row r="87" spans="2:4" x14ac:dyDescent="0.25">
      <c r="B87" s="31"/>
      <c r="C87" s="375">
        <f>SUM(C76:C86)</f>
        <v>34878073</v>
      </c>
      <c r="D87" s="376" t="s">
        <v>303</v>
      </c>
    </row>
  </sheetData>
  <mergeCells count="70">
    <mergeCell ref="L3:L4"/>
    <mergeCell ref="B1:D1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M31:M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Y31:Y32"/>
    <mergeCell ref="N31:N32"/>
    <mergeCell ref="O31:O32"/>
    <mergeCell ref="P31:P32"/>
    <mergeCell ref="Q31:Q32"/>
    <mergeCell ref="R31:R32"/>
    <mergeCell ref="S31:S32"/>
    <mergeCell ref="T31:T32"/>
    <mergeCell ref="U31:U32"/>
    <mergeCell ref="V31:V32"/>
    <mergeCell ref="W31:W32"/>
    <mergeCell ref="X31:X32"/>
    <mergeCell ref="AF31:AF32"/>
    <mergeCell ref="AG31:AG32"/>
    <mergeCell ref="AH31:AH32"/>
    <mergeCell ref="AI31:AI32"/>
    <mergeCell ref="Z31:Z32"/>
    <mergeCell ref="AA31:AA32"/>
    <mergeCell ref="AB31:AB32"/>
    <mergeCell ref="AC31:AC32"/>
    <mergeCell ref="AD31:AD32"/>
    <mergeCell ref="AE31:AE3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</sheetPr>
  <dimension ref="B1:AN95"/>
  <sheetViews>
    <sheetView zoomScaleNormal="100" workbookViewId="0">
      <selection activeCell="H18" sqref="H18"/>
    </sheetView>
  </sheetViews>
  <sheetFormatPr defaultColWidth="9.140625" defaultRowHeight="15" x14ac:dyDescent="0.25"/>
  <cols>
    <col min="1" max="1" width="9.140625" style="30"/>
    <col min="2" max="2" width="27.5703125" style="30" customWidth="1"/>
    <col min="3" max="3" width="9.7109375" style="30" customWidth="1"/>
    <col min="4" max="6" width="9.140625" style="30" hidden="1" customWidth="1"/>
    <col min="7" max="7" width="17.5703125" style="30" customWidth="1"/>
    <col min="8" max="8" width="15.42578125" style="30" customWidth="1"/>
    <col min="9" max="9" width="20.42578125" style="30" customWidth="1"/>
    <col min="10" max="10" width="14.42578125" style="30" customWidth="1"/>
    <col min="11" max="11" width="16.5703125" style="30" customWidth="1"/>
    <col min="12" max="12" width="16" style="30" customWidth="1"/>
    <col min="13" max="13" width="14.85546875" style="30" customWidth="1"/>
    <col min="14" max="14" width="15.28515625" style="30" customWidth="1"/>
    <col min="15" max="15" width="14.140625" style="30" customWidth="1"/>
    <col min="16" max="17" width="14.5703125" style="30" customWidth="1"/>
    <col min="18" max="18" width="14.42578125" style="30" customWidth="1"/>
    <col min="19" max="19" width="15.7109375" style="30" customWidth="1"/>
    <col min="20" max="20" width="14" style="30" customWidth="1"/>
    <col min="21" max="21" width="15.7109375" style="30" customWidth="1"/>
    <col min="22" max="23" width="17" style="30" customWidth="1"/>
    <col min="24" max="24" width="15.5703125" style="30" customWidth="1"/>
    <col min="25" max="25" width="15.42578125" style="30" customWidth="1"/>
    <col min="26" max="26" width="16.140625" style="30" customWidth="1"/>
    <col min="27" max="28" width="15.5703125" style="30" customWidth="1"/>
    <col min="29" max="29" width="16.28515625" style="30" customWidth="1"/>
    <col min="30" max="30" width="15.85546875" style="30" customWidth="1"/>
    <col min="31" max="32" width="16.140625" style="30" customWidth="1"/>
    <col min="33" max="33" width="15.42578125" style="30" customWidth="1"/>
    <col min="34" max="34" width="15" style="30" customWidth="1"/>
    <col min="35" max="35" width="15.28515625" style="30" customWidth="1"/>
    <col min="36" max="36" width="15.5703125" style="30" customWidth="1"/>
    <col min="37" max="37" width="16.28515625" style="30" customWidth="1"/>
    <col min="38" max="38" width="15" style="30" bestFit="1" customWidth="1"/>
    <col min="39" max="39" width="9.140625" style="30"/>
    <col min="40" max="40" width="15" style="30" bestFit="1" customWidth="1"/>
    <col min="41" max="16384" width="9.140625" style="30"/>
  </cols>
  <sheetData>
    <row r="1" spans="2:40" ht="15.75" thickBot="1" x14ac:dyDescent="0.3">
      <c r="G1" s="42">
        <v>0</v>
      </c>
      <c r="H1" s="42">
        <f>G1+1</f>
        <v>1</v>
      </c>
      <c r="I1" s="42">
        <f t="shared" ref="I1:AI1" si="0">H1+1</f>
        <v>2</v>
      </c>
      <c r="J1" s="42">
        <f t="shared" si="0"/>
        <v>3</v>
      </c>
      <c r="K1" s="42">
        <f t="shared" si="0"/>
        <v>4</v>
      </c>
      <c r="L1" s="42">
        <f t="shared" si="0"/>
        <v>5</v>
      </c>
      <c r="M1" s="42">
        <f t="shared" si="0"/>
        <v>6</v>
      </c>
      <c r="N1" s="42">
        <f t="shared" si="0"/>
        <v>7</v>
      </c>
      <c r="O1" s="42">
        <f t="shared" si="0"/>
        <v>8</v>
      </c>
      <c r="P1" s="42">
        <f t="shared" si="0"/>
        <v>9</v>
      </c>
      <c r="Q1" s="42">
        <f t="shared" si="0"/>
        <v>10</v>
      </c>
      <c r="R1" s="42">
        <f t="shared" si="0"/>
        <v>11</v>
      </c>
      <c r="S1" s="42">
        <f t="shared" si="0"/>
        <v>12</v>
      </c>
      <c r="T1" s="42">
        <f t="shared" si="0"/>
        <v>13</v>
      </c>
      <c r="U1" s="42">
        <f t="shared" si="0"/>
        <v>14</v>
      </c>
      <c r="V1" s="42">
        <f t="shared" si="0"/>
        <v>15</v>
      </c>
      <c r="W1" s="42">
        <f t="shared" si="0"/>
        <v>16</v>
      </c>
      <c r="X1" s="42">
        <f t="shared" si="0"/>
        <v>17</v>
      </c>
      <c r="Y1" s="42">
        <f t="shared" si="0"/>
        <v>18</v>
      </c>
      <c r="Z1" s="42">
        <f t="shared" si="0"/>
        <v>19</v>
      </c>
      <c r="AA1" s="42">
        <f t="shared" si="0"/>
        <v>20</v>
      </c>
      <c r="AB1" s="42">
        <f t="shared" si="0"/>
        <v>21</v>
      </c>
      <c r="AC1" s="42">
        <f t="shared" si="0"/>
        <v>22</v>
      </c>
      <c r="AD1" s="42">
        <f t="shared" si="0"/>
        <v>23</v>
      </c>
      <c r="AE1" s="42">
        <f t="shared" si="0"/>
        <v>24</v>
      </c>
      <c r="AF1" s="42">
        <f t="shared" si="0"/>
        <v>25</v>
      </c>
      <c r="AG1" s="42">
        <f t="shared" si="0"/>
        <v>26</v>
      </c>
      <c r="AH1" s="42">
        <f t="shared" si="0"/>
        <v>27</v>
      </c>
      <c r="AI1" s="42">
        <f t="shared" si="0"/>
        <v>28</v>
      </c>
    </row>
    <row r="2" spans="2:40" hidden="1" x14ac:dyDescent="0.25">
      <c r="B2" s="713" t="s">
        <v>348</v>
      </c>
      <c r="C2" s="714"/>
      <c r="D2" s="90"/>
      <c r="E2" s="90"/>
      <c r="F2" s="90"/>
      <c r="G2" s="723">
        <v>2013</v>
      </c>
      <c r="H2" s="725">
        <f t="shared" ref="H2" si="1">G2+1</f>
        <v>2014</v>
      </c>
      <c r="I2" s="717">
        <f t="shared" ref="I2" si="2">H2+1</f>
        <v>2015</v>
      </c>
      <c r="J2" s="717">
        <f t="shared" ref="J2" si="3">I2+1</f>
        <v>2016</v>
      </c>
      <c r="K2" s="717">
        <f t="shared" ref="K2" si="4">J2+1</f>
        <v>2017</v>
      </c>
      <c r="L2" s="717">
        <f t="shared" ref="L2" si="5">K2+1</f>
        <v>2018</v>
      </c>
      <c r="M2" s="717">
        <f t="shared" ref="M2" si="6">L2+1</f>
        <v>2019</v>
      </c>
      <c r="N2" s="717">
        <f t="shared" ref="N2" si="7">M2+1</f>
        <v>2020</v>
      </c>
      <c r="O2" s="717">
        <f t="shared" ref="O2" si="8">N2+1</f>
        <v>2021</v>
      </c>
      <c r="P2" s="717">
        <f t="shared" ref="P2" si="9">O2+1</f>
        <v>2022</v>
      </c>
      <c r="Q2" s="717">
        <f t="shared" ref="Q2" si="10">P2+1</f>
        <v>2023</v>
      </c>
      <c r="R2" s="717">
        <f t="shared" ref="R2" si="11">Q2+1</f>
        <v>2024</v>
      </c>
      <c r="S2" s="717">
        <f t="shared" ref="S2" si="12">R2+1</f>
        <v>2025</v>
      </c>
      <c r="T2" s="717">
        <f t="shared" ref="T2" si="13">S2+1</f>
        <v>2026</v>
      </c>
      <c r="U2" s="717">
        <f t="shared" ref="U2" si="14">T2+1</f>
        <v>2027</v>
      </c>
      <c r="V2" s="717">
        <f t="shared" ref="V2" si="15">U2+1</f>
        <v>2028</v>
      </c>
      <c r="W2" s="717">
        <f t="shared" ref="W2" si="16">V2+1</f>
        <v>2029</v>
      </c>
      <c r="X2" s="717">
        <f t="shared" ref="X2" si="17">W2+1</f>
        <v>2030</v>
      </c>
      <c r="Y2" s="717">
        <f t="shared" ref="Y2" si="18">X2+1</f>
        <v>2031</v>
      </c>
      <c r="Z2" s="717">
        <f t="shared" ref="Z2" si="19">Y2+1</f>
        <v>2032</v>
      </c>
      <c r="AA2" s="717">
        <f t="shared" ref="AA2" si="20">Z2+1</f>
        <v>2033</v>
      </c>
      <c r="AB2" s="717">
        <f t="shared" ref="AB2" si="21">AA2+1</f>
        <v>2034</v>
      </c>
      <c r="AC2" s="717">
        <f t="shared" ref="AC2" si="22">AB2+1</f>
        <v>2035</v>
      </c>
      <c r="AD2" s="717">
        <f t="shared" ref="AD2" si="23">AC2+1</f>
        <v>2036</v>
      </c>
      <c r="AE2" s="717">
        <f t="shared" ref="AE2" si="24">AD2+1</f>
        <v>2037</v>
      </c>
      <c r="AF2" s="717">
        <f t="shared" ref="AF2" si="25">AE2+1</f>
        <v>2038</v>
      </c>
      <c r="AG2" s="717">
        <f t="shared" ref="AG2" si="26">AF2+1</f>
        <v>2039</v>
      </c>
      <c r="AH2" s="717">
        <f>AG2+1</f>
        <v>2040</v>
      </c>
      <c r="AI2" s="719">
        <v>2043</v>
      </c>
    </row>
    <row r="3" spans="2:40" ht="15.75" hidden="1" thickBot="1" x14ac:dyDescent="0.3">
      <c r="B3" s="715"/>
      <c r="C3" s="716"/>
      <c r="D3" s="91"/>
      <c r="E3" s="91"/>
      <c r="F3" s="91"/>
      <c r="G3" s="724"/>
      <c r="H3" s="726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8"/>
      <c r="AG3" s="718"/>
      <c r="AH3" s="718"/>
      <c r="AI3" s="720"/>
    </row>
    <row r="4" spans="2:40" hidden="1" x14ac:dyDescent="0.25">
      <c r="B4" s="30" t="s">
        <v>293</v>
      </c>
      <c r="H4" s="209">
        <v>0.03</v>
      </c>
      <c r="I4" s="209">
        <v>0.03</v>
      </c>
      <c r="J4" s="209">
        <v>0.03</v>
      </c>
      <c r="K4" s="209">
        <v>0.03</v>
      </c>
      <c r="L4" s="209">
        <v>0.03</v>
      </c>
      <c r="M4" s="209">
        <v>0.03</v>
      </c>
      <c r="N4" s="209">
        <v>0.03</v>
      </c>
      <c r="O4" s="209">
        <v>0.03</v>
      </c>
      <c r="P4" s="209">
        <v>0.03</v>
      </c>
      <c r="Q4" s="209">
        <v>0.03</v>
      </c>
      <c r="R4" s="209">
        <v>0.03</v>
      </c>
      <c r="S4" s="209">
        <v>0.03</v>
      </c>
      <c r="T4" s="209">
        <v>0.03</v>
      </c>
      <c r="U4" s="209">
        <v>0.03</v>
      </c>
      <c r="V4" s="209">
        <v>0.03</v>
      </c>
      <c r="W4" s="209">
        <v>0.03</v>
      </c>
      <c r="X4" s="209">
        <v>0.03</v>
      </c>
      <c r="Y4" s="209">
        <v>0.03</v>
      </c>
      <c r="Z4" s="209">
        <v>0.03</v>
      </c>
      <c r="AA4" s="209">
        <v>0.03</v>
      </c>
      <c r="AB4" s="209">
        <v>0.03</v>
      </c>
      <c r="AC4" s="209">
        <v>0.03</v>
      </c>
      <c r="AD4" s="209">
        <v>0.03</v>
      </c>
      <c r="AE4" s="209">
        <v>0.03</v>
      </c>
      <c r="AF4" s="209">
        <v>0.03</v>
      </c>
      <c r="AG4" s="209">
        <v>0.03</v>
      </c>
      <c r="AH4" s="209">
        <v>0.03</v>
      </c>
      <c r="AI4" s="209">
        <v>0.03</v>
      </c>
    </row>
    <row r="5" spans="2:40" s="39" customFormat="1" hidden="1" x14ac:dyDescent="0.25">
      <c r="B5" s="39" t="s">
        <v>307</v>
      </c>
      <c r="H5" s="209">
        <v>0.01</v>
      </c>
      <c r="I5" s="209">
        <v>0.01</v>
      </c>
      <c r="J5" s="209">
        <v>0.01</v>
      </c>
      <c r="K5" s="209">
        <v>0.01</v>
      </c>
      <c r="L5" s="209">
        <v>0.01</v>
      </c>
      <c r="M5" s="209">
        <v>0.01</v>
      </c>
      <c r="N5" s="209">
        <v>0.01</v>
      </c>
      <c r="O5" s="209">
        <v>0.01</v>
      </c>
      <c r="P5" s="209">
        <v>0.01</v>
      </c>
      <c r="Q5" s="209">
        <v>0.01</v>
      </c>
      <c r="R5" s="209">
        <v>0.01</v>
      </c>
      <c r="S5" s="209">
        <v>0.01</v>
      </c>
      <c r="T5" s="209">
        <v>0.01</v>
      </c>
      <c r="U5" s="209">
        <v>0.01</v>
      </c>
      <c r="V5" s="209">
        <v>0.01</v>
      </c>
      <c r="W5" s="209">
        <v>0.01</v>
      </c>
      <c r="X5" s="209">
        <v>0.01</v>
      </c>
      <c r="Y5" s="209">
        <v>0.01</v>
      </c>
      <c r="Z5" s="209">
        <v>0.01</v>
      </c>
      <c r="AA5" s="209">
        <v>0.01</v>
      </c>
      <c r="AB5" s="209">
        <v>0.01</v>
      </c>
      <c r="AC5" s="209">
        <v>0.01</v>
      </c>
      <c r="AD5" s="209">
        <v>0.01</v>
      </c>
      <c r="AE5" s="209">
        <v>0.01</v>
      </c>
      <c r="AF5" s="209">
        <v>0.01</v>
      </c>
      <c r="AG5" s="209">
        <v>0.01</v>
      </c>
      <c r="AH5" s="209">
        <v>0.01</v>
      </c>
      <c r="AI5" s="209">
        <v>0.01</v>
      </c>
    </row>
    <row r="6" spans="2:40" ht="15.75" hidden="1" thickBot="1" x14ac:dyDescent="0.3">
      <c r="B6" s="30" t="s">
        <v>294</v>
      </c>
      <c r="G6" s="38"/>
      <c r="H6" s="209">
        <v>0.05</v>
      </c>
      <c r="I6" s="209">
        <v>0.05</v>
      </c>
      <c r="J6" s="209">
        <v>0.05</v>
      </c>
      <c r="K6" s="209">
        <v>0.05</v>
      </c>
      <c r="L6" s="209">
        <v>0.05</v>
      </c>
      <c r="M6" s="209">
        <v>0.05</v>
      </c>
      <c r="N6" s="209">
        <v>0.05</v>
      </c>
      <c r="O6" s="209">
        <v>0.05</v>
      </c>
      <c r="P6" s="209">
        <v>0.05</v>
      </c>
      <c r="Q6" s="209">
        <v>0.05</v>
      </c>
      <c r="R6" s="209">
        <v>0.05</v>
      </c>
      <c r="S6" s="209">
        <v>0.05</v>
      </c>
      <c r="T6" s="209">
        <v>0.05</v>
      </c>
      <c r="U6" s="209">
        <v>0.05</v>
      </c>
      <c r="V6" s="209">
        <v>0.05</v>
      </c>
      <c r="W6" s="209">
        <v>0.05</v>
      </c>
      <c r="X6" s="209">
        <v>0.05</v>
      </c>
      <c r="Y6" s="209">
        <v>0.05</v>
      </c>
      <c r="Z6" s="209">
        <v>0.05</v>
      </c>
      <c r="AA6" s="209">
        <v>0.05</v>
      </c>
      <c r="AB6" s="209">
        <v>0.05</v>
      </c>
      <c r="AC6" s="209">
        <v>0.05</v>
      </c>
      <c r="AD6" s="209">
        <v>0.05</v>
      </c>
      <c r="AE6" s="209">
        <v>0.05</v>
      </c>
      <c r="AF6" s="209">
        <v>0.05</v>
      </c>
      <c r="AG6" s="209">
        <v>0.05</v>
      </c>
      <c r="AH6" s="209">
        <v>0.05</v>
      </c>
      <c r="AI6" s="209">
        <v>0.05</v>
      </c>
    </row>
    <row r="7" spans="2:40" s="39" customFormat="1" hidden="1" x14ac:dyDescent="0.25">
      <c r="B7" s="721" t="s">
        <v>308</v>
      </c>
      <c r="C7" s="722"/>
      <c r="D7" s="92"/>
      <c r="E7" s="92"/>
      <c r="F7" s="92"/>
      <c r="G7" s="203">
        <v>1</v>
      </c>
      <c r="H7" s="206">
        <f>G7*(1+H4)</f>
        <v>1.03</v>
      </c>
      <c r="I7" s="206">
        <f t="shared" ref="I7:AI7" si="27">H7*(1+I4)</f>
        <v>1.0609</v>
      </c>
      <c r="J7" s="206">
        <f t="shared" si="27"/>
        <v>1.092727</v>
      </c>
      <c r="K7" s="206">
        <f t="shared" si="27"/>
        <v>1.1255088100000001</v>
      </c>
      <c r="L7" s="206">
        <f t="shared" si="27"/>
        <v>1.1592740743000001</v>
      </c>
      <c r="M7" s="206">
        <f t="shared" si="27"/>
        <v>1.1940522965290001</v>
      </c>
      <c r="N7" s="206">
        <f t="shared" si="27"/>
        <v>1.2298738654248702</v>
      </c>
      <c r="O7" s="206">
        <f t="shared" si="27"/>
        <v>1.2667700813876164</v>
      </c>
      <c r="P7" s="206">
        <f t="shared" si="27"/>
        <v>1.3047731838292449</v>
      </c>
      <c r="Q7" s="206">
        <f t="shared" si="27"/>
        <v>1.3439163793441222</v>
      </c>
      <c r="R7" s="206">
        <f t="shared" si="27"/>
        <v>1.3842338707244459</v>
      </c>
      <c r="S7" s="206">
        <f t="shared" si="27"/>
        <v>1.4257608868461793</v>
      </c>
      <c r="T7" s="206">
        <f t="shared" si="27"/>
        <v>1.4685337134515648</v>
      </c>
      <c r="U7" s="206">
        <f t="shared" si="27"/>
        <v>1.5125897248551119</v>
      </c>
      <c r="V7" s="206">
        <f t="shared" si="27"/>
        <v>1.5579674166007653</v>
      </c>
      <c r="W7" s="206">
        <f t="shared" si="27"/>
        <v>1.6047064390987884</v>
      </c>
      <c r="X7" s="206">
        <f t="shared" si="27"/>
        <v>1.652847632271752</v>
      </c>
      <c r="Y7" s="206">
        <f t="shared" si="27"/>
        <v>1.7024330612399046</v>
      </c>
      <c r="Z7" s="206">
        <f t="shared" si="27"/>
        <v>1.7535060530771018</v>
      </c>
      <c r="AA7" s="206">
        <f t="shared" si="27"/>
        <v>1.806111234669415</v>
      </c>
      <c r="AB7" s="206">
        <f t="shared" si="27"/>
        <v>1.8602945717094976</v>
      </c>
      <c r="AC7" s="206">
        <f t="shared" si="27"/>
        <v>1.9161034088607827</v>
      </c>
      <c r="AD7" s="206">
        <f t="shared" si="27"/>
        <v>1.9735865111266062</v>
      </c>
      <c r="AE7" s="206">
        <f t="shared" si="27"/>
        <v>2.0327941064604045</v>
      </c>
      <c r="AF7" s="206">
        <f t="shared" si="27"/>
        <v>2.0937779296542165</v>
      </c>
      <c r="AG7" s="206">
        <f t="shared" si="27"/>
        <v>2.1565912675438432</v>
      </c>
      <c r="AH7" s="206">
        <f t="shared" si="27"/>
        <v>2.2212890055701586</v>
      </c>
      <c r="AI7" s="207">
        <f t="shared" si="27"/>
        <v>2.2879276757372633</v>
      </c>
    </row>
    <row r="8" spans="2:40" s="39" customFormat="1" hidden="1" x14ac:dyDescent="0.25">
      <c r="B8" s="711" t="s">
        <v>309</v>
      </c>
      <c r="C8" s="712"/>
      <c r="D8" s="31"/>
      <c r="E8" s="31"/>
      <c r="F8" s="31"/>
      <c r="G8" s="204">
        <v>1</v>
      </c>
      <c r="H8" s="201">
        <f>G8*(1+H5)</f>
        <v>1.01</v>
      </c>
      <c r="I8" s="201">
        <f t="shared" ref="I8:AI8" si="28">H8*(1+I5)</f>
        <v>1.0201</v>
      </c>
      <c r="J8" s="201">
        <f t="shared" si="28"/>
        <v>1.0303009999999999</v>
      </c>
      <c r="K8" s="201">
        <f t="shared" si="28"/>
        <v>1.04060401</v>
      </c>
      <c r="L8" s="201">
        <f t="shared" si="28"/>
        <v>1.0510100500999999</v>
      </c>
      <c r="M8" s="201">
        <f t="shared" si="28"/>
        <v>1.0615201506009999</v>
      </c>
      <c r="N8" s="201">
        <f t="shared" si="28"/>
        <v>1.0721353521070098</v>
      </c>
      <c r="O8" s="201">
        <f t="shared" si="28"/>
        <v>1.08285670562808</v>
      </c>
      <c r="P8" s="201">
        <f t="shared" si="28"/>
        <v>1.0936852726843609</v>
      </c>
      <c r="Q8" s="201">
        <f t="shared" si="28"/>
        <v>1.1046221254112045</v>
      </c>
      <c r="R8" s="201">
        <f t="shared" si="28"/>
        <v>1.1156683466653166</v>
      </c>
      <c r="S8" s="201">
        <f t="shared" si="28"/>
        <v>1.1268250301319698</v>
      </c>
      <c r="T8" s="201">
        <f t="shared" si="28"/>
        <v>1.1380932804332895</v>
      </c>
      <c r="U8" s="201">
        <f t="shared" si="28"/>
        <v>1.1494742132376223</v>
      </c>
      <c r="V8" s="201">
        <f t="shared" si="28"/>
        <v>1.1609689553699987</v>
      </c>
      <c r="W8" s="201">
        <f t="shared" si="28"/>
        <v>1.1725786449236986</v>
      </c>
      <c r="X8" s="201">
        <f t="shared" si="28"/>
        <v>1.1843044313729356</v>
      </c>
      <c r="Y8" s="201">
        <f t="shared" si="28"/>
        <v>1.196147475686665</v>
      </c>
      <c r="Z8" s="201">
        <f t="shared" si="28"/>
        <v>1.2081089504435316</v>
      </c>
      <c r="AA8" s="201">
        <f t="shared" si="28"/>
        <v>1.220190039947967</v>
      </c>
      <c r="AB8" s="201">
        <f t="shared" si="28"/>
        <v>1.2323919403474468</v>
      </c>
      <c r="AC8" s="201">
        <f t="shared" si="28"/>
        <v>1.2447158597509214</v>
      </c>
      <c r="AD8" s="201">
        <f t="shared" si="28"/>
        <v>1.2571630183484306</v>
      </c>
      <c r="AE8" s="201">
        <f t="shared" si="28"/>
        <v>1.269734648531915</v>
      </c>
      <c r="AF8" s="201">
        <f t="shared" si="28"/>
        <v>1.282431995017234</v>
      </c>
      <c r="AG8" s="201">
        <f t="shared" si="28"/>
        <v>1.2952563149674063</v>
      </c>
      <c r="AH8" s="201">
        <f t="shared" si="28"/>
        <v>1.3082088781170804</v>
      </c>
      <c r="AI8" s="208">
        <f t="shared" si="28"/>
        <v>1.3212909668982513</v>
      </c>
    </row>
    <row r="9" spans="2:40" s="39" customFormat="1" hidden="1" x14ac:dyDescent="0.25">
      <c r="B9" s="33" t="s">
        <v>310</v>
      </c>
      <c r="C9" s="34"/>
      <c r="D9" s="34"/>
      <c r="E9" s="34"/>
      <c r="F9" s="34"/>
      <c r="G9" s="211">
        <v>1</v>
      </c>
      <c r="H9" s="212">
        <f>G9*(1+H6)</f>
        <v>1.05</v>
      </c>
      <c r="I9" s="212">
        <f t="shared" ref="I9:AI9" si="29">H9*(1+I6)</f>
        <v>1.1025</v>
      </c>
      <c r="J9" s="212">
        <f t="shared" si="29"/>
        <v>1.1576250000000001</v>
      </c>
      <c r="K9" s="212">
        <f t="shared" si="29"/>
        <v>1.2155062500000002</v>
      </c>
      <c r="L9" s="212">
        <f t="shared" si="29"/>
        <v>1.2762815625000004</v>
      </c>
      <c r="M9" s="212">
        <f t="shared" si="29"/>
        <v>1.3400956406250004</v>
      </c>
      <c r="N9" s="212">
        <f t="shared" si="29"/>
        <v>1.4071004226562505</v>
      </c>
      <c r="O9" s="212">
        <f t="shared" si="29"/>
        <v>1.477455443789063</v>
      </c>
      <c r="P9" s="212">
        <f t="shared" si="29"/>
        <v>1.5513282159785162</v>
      </c>
      <c r="Q9" s="212">
        <f t="shared" si="29"/>
        <v>1.628894626777442</v>
      </c>
      <c r="R9" s="212">
        <f t="shared" si="29"/>
        <v>1.7103393581163142</v>
      </c>
      <c r="S9" s="212">
        <f t="shared" si="29"/>
        <v>1.7958563260221301</v>
      </c>
      <c r="T9" s="212">
        <f t="shared" si="29"/>
        <v>1.8856491423232367</v>
      </c>
      <c r="U9" s="212">
        <f t="shared" si="29"/>
        <v>1.9799315994393987</v>
      </c>
      <c r="V9" s="212">
        <f t="shared" si="29"/>
        <v>2.0789281794113688</v>
      </c>
      <c r="W9" s="212">
        <f t="shared" si="29"/>
        <v>2.1828745883819374</v>
      </c>
      <c r="X9" s="212">
        <f t="shared" si="29"/>
        <v>2.2920183178010345</v>
      </c>
      <c r="Y9" s="212">
        <f t="shared" si="29"/>
        <v>2.4066192336910861</v>
      </c>
      <c r="Z9" s="212">
        <f t="shared" si="29"/>
        <v>2.5269501953756404</v>
      </c>
      <c r="AA9" s="212">
        <f t="shared" si="29"/>
        <v>2.6532977051444226</v>
      </c>
      <c r="AB9" s="212">
        <f t="shared" si="29"/>
        <v>2.7859625904016441</v>
      </c>
      <c r="AC9" s="212">
        <f t="shared" si="29"/>
        <v>2.9252607199217264</v>
      </c>
      <c r="AD9" s="212">
        <f t="shared" si="29"/>
        <v>3.0715237559178128</v>
      </c>
      <c r="AE9" s="212">
        <f t="shared" si="29"/>
        <v>3.2250999437137038</v>
      </c>
      <c r="AF9" s="212">
        <f t="shared" si="29"/>
        <v>3.3863549408993889</v>
      </c>
      <c r="AG9" s="212">
        <f t="shared" si="29"/>
        <v>3.5556726879443583</v>
      </c>
      <c r="AH9" s="212">
        <f t="shared" si="29"/>
        <v>3.7334563223415764</v>
      </c>
      <c r="AI9" s="213">
        <f t="shared" si="29"/>
        <v>3.9201291384586554</v>
      </c>
    </row>
    <row r="10" spans="2:40" x14ac:dyDescent="0.25">
      <c r="B10" s="730" t="s">
        <v>531</v>
      </c>
      <c r="C10" s="732" t="s">
        <v>272</v>
      </c>
      <c r="D10" s="733">
        <v>2010</v>
      </c>
      <c r="E10" s="727">
        <f>D10+1</f>
        <v>2011</v>
      </c>
      <c r="F10" s="727">
        <v>2013</v>
      </c>
      <c r="G10" s="727">
        <f t="shared" ref="G10:AG10" si="30">F10+1</f>
        <v>2014</v>
      </c>
      <c r="H10" s="727">
        <f t="shared" si="30"/>
        <v>2015</v>
      </c>
      <c r="I10" s="727">
        <f t="shared" si="30"/>
        <v>2016</v>
      </c>
      <c r="J10" s="727">
        <f t="shared" si="30"/>
        <v>2017</v>
      </c>
      <c r="K10" s="727">
        <f t="shared" si="30"/>
        <v>2018</v>
      </c>
      <c r="L10" s="727">
        <f t="shared" si="30"/>
        <v>2019</v>
      </c>
      <c r="M10" s="727">
        <f t="shared" si="30"/>
        <v>2020</v>
      </c>
      <c r="N10" s="727">
        <f t="shared" si="30"/>
        <v>2021</v>
      </c>
      <c r="O10" s="727">
        <f t="shared" si="30"/>
        <v>2022</v>
      </c>
      <c r="P10" s="727">
        <f t="shared" si="30"/>
        <v>2023</v>
      </c>
      <c r="Q10" s="727">
        <f t="shared" si="30"/>
        <v>2024</v>
      </c>
      <c r="R10" s="727">
        <f t="shared" si="30"/>
        <v>2025</v>
      </c>
      <c r="S10" s="727">
        <f t="shared" si="30"/>
        <v>2026</v>
      </c>
      <c r="T10" s="727">
        <f t="shared" si="30"/>
        <v>2027</v>
      </c>
      <c r="U10" s="727">
        <f t="shared" si="30"/>
        <v>2028</v>
      </c>
      <c r="V10" s="727">
        <f t="shared" si="30"/>
        <v>2029</v>
      </c>
      <c r="W10" s="727">
        <f t="shared" si="30"/>
        <v>2030</v>
      </c>
      <c r="X10" s="727">
        <f t="shared" si="30"/>
        <v>2031</v>
      </c>
      <c r="Y10" s="727">
        <f t="shared" si="30"/>
        <v>2032</v>
      </c>
      <c r="Z10" s="727">
        <f t="shared" si="30"/>
        <v>2033</v>
      </c>
      <c r="AA10" s="727">
        <f t="shared" si="30"/>
        <v>2034</v>
      </c>
      <c r="AB10" s="727">
        <f t="shared" si="30"/>
        <v>2035</v>
      </c>
      <c r="AC10" s="727">
        <f t="shared" si="30"/>
        <v>2036</v>
      </c>
      <c r="AD10" s="727">
        <f t="shared" si="30"/>
        <v>2037</v>
      </c>
      <c r="AE10" s="727">
        <f t="shared" si="30"/>
        <v>2038</v>
      </c>
      <c r="AF10" s="727">
        <f t="shared" si="30"/>
        <v>2039</v>
      </c>
      <c r="AG10" s="727">
        <f t="shared" si="30"/>
        <v>2040</v>
      </c>
      <c r="AH10" s="727">
        <f>AG10+1</f>
        <v>2041</v>
      </c>
      <c r="AI10" s="727">
        <v>2041</v>
      </c>
      <c r="AJ10" s="727">
        <v>2042</v>
      </c>
      <c r="AK10" s="728">
        <v>2043</v>
      </c>
    </row>
    <row r="11" spans="2:40" x14ac:dyDescent="0.25">
      <c r="B11" s="731"/>
      <c r="C11" s="705"/>
      <c r="D11" s="734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0"/>
      <c r="Z11" s="700"/>
      <c r="AA11" s="700"/>
      <c r="AB11" s="700"/>
      <c r="AC11" s="700"/>
      <c r="AD11" s="700"/>
      <c r="AE11" s="700"/>
      <c r="AF11" s="700"/>
      <c r="AG11" s="700"/>
      <c r="AH11" s="700"/>
      <c r="AI11" s="700"/>
      <c r="AJ11" s="700"/>
      <c r="AK11" s="729"/>
    </row>
    <row r="12" spans="2:40" ht="32.25" customHeight="1" x14ac:dyDescent="0.25">
      <c r="B12" s="502" t="s">
        <v>275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85"/>
    </row>
    <row r="13" spans="2:40" x14ac:dyDescent="0.25">
      <c r="B13" s="298" t="s">
        <v>282</v>
      </c>
      <c r="C13" s="272" t="s">
        <v>286</v>
      </c>
      <c r="D13" s="272"/>
      <c r="E13" s="272"/>
      <c r="F13" s="272"/>
      <c r="G13" s="299">
        <f>30/100*G32</f>
        <v>2029434.6570766759</v>
      </c>
      <c r="H13" s="299">
        <f>30/100*H32</f>
        <v>2109531.9765261994</v>
      </c>
      <c r="I13" s="299">
        <f>30/100*I32</f>
        <v>2140906.4211254204</v>
      </c>
      <c r="J13" s="299">
        <f t="shared" ref="J13:AH13" si="31">30/100*J32</f>
        <v>2354214.0098224473</v>
      </c>
      <c r="K13" s="299">
        <f t="shared" si="31"/>
        <v>2362857.155172762</v>
      </c>
      <c r="L13" s="299">
        <f t="shared" si="31"/>
        <v>2464835.7497632331</v>
      </c>
      <c r="M13" s="299">
        <f t="shared" si="31"/>
        <v>2495997.3679857529</v>
      </c>
      <c r="N13" s="299">
        <f t="shared" si="31"/>
        <v>2528578.9175464897</v>
      </c>
      <c r="O13" s="299">
        <f t="shared" si="31"/>
        <v>2553935.7167346887</v>
      </c>
      <c r="P13" s="299">
        <f t="shared" si="31"/>
        <v>2567117.5837383056</v>
      </c>
      <c r="Q13" s="299">
        <f t="shared" si="31"/>
        <v>2585688.0474221995</v>
      </c>
      <c r="R13" s="299">
        <f t="shared" si="31"/>
        <v>2605355.4679696746</v>
      </c>
      <c r="S13" s="299">
        <f t="shared" si="31"/>
        <v>2621831.399107473</v>
      </c>
      <c r="T13" s="299">
        <f t="shared" si="31"/>
        <v>2644706.2676644316</v>
      </c>
      <c r="U13" s="299">
        <f t="shared" si="31"/>
        <v>2667041.8201694614</v>
      </c>
      <c r="V13" s="299">
        <f t="shared" si="31"/>
        <v>2690323.889989411</v>
      </c>
      <c r="W13" s="299">
        <f t="shared" si="31"/>
        <v>2713354.589994438</v>
      </c>
      <c r="X13" s="299">
        <f t="shared" si="31"/>
        <v>2732166.3233240941</v>
      </c>
      <c r="Y13" s="299">
        <f t="shared" si="31"/>
        <v>2744764.6165549816</v>
      </c>
      <c r="Z13" s="299">
        <f t="shared" si="31"/>
        <v>2753137.9226792045</v>
      </c>
      <c r="AA13" s="299">
        <f t="shared" si="31"/>
        <v>2760770.8127648435</v>
      </c>
      <c r="AB13" s="299">
        <f t="shared" si="31"/>
        <v>2768308.1808947381</v>
      </c>
      <c r="AC13" s="299">
        <f t="shared" si="31"/>
        <v>2775799.3640390853</v>
      </c>
      <c r="AD13" s="299">
        <f t="shared" si="31"/>
        <v>2783102.889216281</v>
      </c>
      <c r="AE13" s="299">
        <f t="shared" si="31"/>
        <v>2790363.4736382295</v>
      </c>
      <c r="AF13" s="299">
        <f t="shared" si="31"/>
        <v>2797535.0248550903</v>
      </c>
      <c r="AG13" s="299">
        <f t="shared" si="31"/>
        <v>2804619.1408995856</v>
      </c>
      <c r="AH13" s="299">
        <f t="shared" si="31"/>
        <v>2811617.4104307997</v>
      </c>
      <c r="AI13" s="299">
        <f>30/100*AI32</f>
        <v>2818531.4128774544</v>
      </c>
      <c r="AJ13" s="299">
        <f t="shared" ref="AJ13:AK13" si="32">30/100*AJ32</f>
        <v>2821573.1813032692</v>
      </c>
      <c r="AK13" s="300">
        <f t="shared" si="32"/>
        <v>2833148.2932554125</v>
      </c>
      <c r="AL13" s="40"/>
      <c r="AN13" s="40"/>
    </row>
    <row r="14" spans="2:40" x14ac:dyDescent="0.25">
      <c r="B14" s="286" t="s">
        <v>283</v>
      </c>
      <c r="C14" s="272" t="s">
        <v>286</v>
      </c>
      <c r="D14" s="272"/>
      <c r="E14" s="272"/>
      <c r="F14" s="272"/>
      <c r="G14" s="301">
        <f>0.52*G13</f>
        <v>1055306.0216798715</v>
      </c>
      <c r="H14" s="302">
        <f>52.2%*H13</f>
        <v>1101175.6917466761</v>
      </c>
      <c r="I14" s="302">
        <f t="shared" ref="I14:M14" si="33">52.2%*I13</f>
        <v>1117553.1518274695</v>
      </c>
      <c r="J14" s="302">
        <f t="shared" si="33"/>
        <v>1228899.7131273176</v>
      </c>
      <c r="K14" s="302">
        <f t="shared" si="33"/>
        <v>1233411.4350001819</v>
      </c>
      <c r="L14" s="302">
        <f t="shared" si="33"/>
        <v>1286644.2613764077</v>
      </c>
      <c r="M14" s="302">
        <f t="shared" si="33"/>
        <v>1302910.6260885631</v>
      </c>
      <c r="N14" s="302">
        <f>53.4%*N13</f>
        <v>1350261.1419698256</v>
      </c>
      <c r="O14" s="302">
        <f t="shared" ref="O14:R14" si="34">53.4%*O13</f>
        <v>1363801.6727363239</v>
      </c>
      <c r="P14" s="302">
        <f t="shared" si="34"/>
        <v>1370840.7897162554</v>
      </c>
      <c r="Q14" s="302">
        <f t="shared" si="34"/>
        <v>1380757.4173234545</v>
      </c>
      <c r="R14" s="302">
        <f t="shared" si="34"/>
        <v>1391259.8198958063</v>
      </c>
      <c r="S14" s="302">
        <f>54.1%*S13</f>
        <v>1418410.786917143</v>
      </c>
      <c r="T14" s="302">
        <f t="shared" ref="T14:W14" si="35">54.1%*T13</f>
        <v>1430786.0908064577</v>
      </c>
      <c r="U14" s="302">
        <f t="shared" si="35"/>
        <v>1442869.6247116788</v>
      </c>
      <c r="V14" s="302">
        <f t="shared" si="35"/>
        <v>1455465.2244842714</v>
      </c>
      <c r="W14" s="302">
        <f t="shared" si="35"/>
        <v>1467924.833186991</v>
      </c>
      <c r="X14" s="302">
        <f>55%*X13</f>
        <v>1502691.4778282519</v>
      </c>
      <c r="Y14" s="302">
        <f t="shared" ref="Y14:AB14" si="36">55%*Y13</f>
        <v>1509620.53910524</v>
      </c>
      <c r="Z14" s="302">
        <f t="shared" si="36"/>
        <v>1514225.8574735627</v>
      </c>
      <c r="AA14" s="302">
        <f t="shared" si="36"/>
        <v>1518423.9470206641</v>
      </c>
      <c r="AB14" s="302">
        <f t="shared" si="36"/>
        <v>1522569.499492106</v>
      </c>
      <c r="AC14" s="302">
        <f>55%*AC13</f>
        <v>1526689.6502214971</v>
      </c>
      <c r="AD14" s="302">
        <f t="shared" ref="AD14:AH14" si="37">55%*AD13</f>
        <v>1530706.5890689546</v>
      </c>
      <c r="AE14" s="302">
        <f t="shared" si="37"/>
        <v>1534699.9105010263</v>
      </c>
      <c r="AF14" s="302">
        <f t="shared" si="37"/>
        <v>1538644.2636702999</v>
      </c>
      <c r="AG14" s="302">
        <f t="shared" si="37"/>
        <v>1542540.5274947721</v>
      </c>
      <c r="AH14" s="302">
        <f t="shared" si="37"/>
        <v>1546389.5757369399</v>
      </c>
      <c r="AI14" s="302">
        <f>55%*AI13</f>
        <v>1550192.2770826002</v>
      </c>
      <c r="AJ14" s="302">
        <f t="shared" ref="AJ14:AK14" si="38">55%*AJ13</f>
        <v>1551865.2497167983</v>
      </c>
      <c r="AK14" s="303">
        <f t="shared" si="38"/>
        <v>1558231.5612904769</v>
      </c>
    </row>
    <row r="15" spans="2:40" ht="28.5" customHeight="1" x14ac:dyDescent="0.25">
      <c r="B15" s="287" t="s">
        <v>284</v>
      </c>
      <c r="C15" s="272" t="s">
        <v>286</v>
      </c>
      <c r="D15" s="272"/>
      <c r="E15" s="272"/>
      <c r="F15" s="272"/>
      <c r="G15" s="301">
        <f>0.13*G13</f>
        <v>263826.50541996787</v>
      </c>
      <c r="H15" s="302">
        <f>13.3%*H13</f>
        <v>280567.75287798455</v>
      </c>
      <c r="I15" s="302">
        <f>13.3%*I13</f>
        <v>284740.55400968093</v>
      </c>
      <c r="J15" s="302">
        <f t="shared" ref="J15:M15" si="39">13.3%*J13</f>
        <v>313110.4633063855</v>
      </c>
      <c r="K15" s="302">
        <f t="shared" si="39"/>
        <v>314260.00163797737</v>
      </c>
      <c r="L15" s="302">
        <f t="shared" si="39"/>
        <v>327823.15471851005</v>
      </c>
      <c r="M15" s="302">
        <f t="shared" si="39"/>
        <v>331967.64994210517</v>
      </c>
      <c r="N15" s="302">
        <f>15.3%*N13</f>
        <v>386872.5743846129</v>
      </c>
      <c r="O15" s="302">
        <f t="shared" ref="O15:R15" si="40">15.3%*O13</f>
        <v>390752.16466040735</v>
      </c>
      <c r="P15" s="302">
        <f t="shared" si="40"/>
        <v>392768.99031196075</v>
      </c>
      <c r="Q15" s="302">
        <f t="shared" si="40"/>
        <v>395610.27125559654</v>
      </c>
      <c r="R15" s="302">
        <f t="shared" si="40"/>
        <v>398619.38659936021</v>
      </c>
      <c r="S15" s="302">
        <f>17.1%*S13</f>
        <v>448333.1692473779</v>
      </c>
      <c r="T15" s="302">
        <f t="shared" ref="T15:W15" si="41">17.1%*T13</f>
        <v>452244.77177061781</v>
      </c>
      <c r="U15" s="302">
        <f t="shared" si="41"/>
        <v>456064.15124897793</v>
      </c>
      <c r="V15" s="302">
        <f t="shared" si="41"/>
        <v>460045.38518818934</v>
      </c>
      <c r="W15" s="302">
        <f t="shared" si="41"/>
        <v>463983.63488904893</v>
      </c>
      <c r="X15" s="302">
        <f>19%*X13</f>
        <v>519111.60143157787</v>
      </c>
      <c r="Y15" s="302">
        <f t="shared" ref="Y15:AB15" si="42">19%*Y13</f>
        <v>521505.27714544651</v>
      </c>
      <c r="Z15" s="302">
        <f t="shared" si="42"/>
        <v>523096.20530904888</v>
      </c>
      <c r="AA15" s="302">
        <f t="shared" si="42"/>
        <v>524546.45442532026</v>
      </c>
      <c r="AB15" s="302">
        <f t="shared" si="42"/>
        <v>525978.55437000026</v>
      </c>
      <c r="AC15" s="302">
        <f>21%*AC13</f>
        <v>582917.86644820787</v>
      </c>
      <c r="AD15" s="302">
        <f t="shared" ref="AD15:AH15" si="43">21%*AD13</f>
        <v>584451.60673541902</v>
      </c>
      <c r="AE15" s="302">
        <f t="shared" si="43"/>
        <v>585976.32946402812</v>
      </c>
      <c r="AF15" s="302">
        <f t="shared" si="43"/>
        <v>587482.35521956894</v>
      </c>
      <c r="AG15" s="302">
        <f t="shared" si="43"/>
        <v>588970.01958891295</v>
      </c>
      <c r="AH15" s="302">
        <f t="shared" si="43"/>
        <v>590439.65619046788</v>
      </c>
      <c r="AI15" s="302">
        <f>24%*AI13</f>
        <v>676447.53909058904</v>
      </c>
      <c r="AJ15" s="302">
        <f t="shared" ref="AJ15:AK15" si="44">24%*AJ13</f>
        <v>677177.56351278455</v>
      </c>
      <c r="AK15" s="303">
        <f t="shared" si="44"/>
        <v>679955.59038129903</v>
      </c>
    </row>
    <row r="16" spans="2:40" ht="24" customHeight="1" x14ac:dyDescent="0.25">
      <c r="B16" s="506" t="s">
        <v>285</v>
      </c>
      <c r="C16" s="272" t="s">
        <v>286</v>
      </c>
      <c r="D16" s="272"/>
      <c r="E16" s="272"/>
      <c r="F16" s="272"/>
      <c r="G16" s="301">
        <f>0.35*G13</f>
        <v>710302.1299768365</v>
      </c>
      <c r="H16" s="302">
        <f>34.5%*H13</f>
        <v>727788.53190153872</v>
      </c>
      <c r="I16" s="302">
        <f t="shared" ref="I16:M16" si="45">34.5%*I13</f>
        <v>738612.71528826992</v>
      </c>
      <c r="J16" s="302">
        <f t="shared" si="45"/>
        <v>812203.83338874427</v>
      </c>
      <c r="K16" s="302">
        <f t="shared" si="45"/>
        <v>815185.71853460278</v>
      </c>
      <c r="L16" s="302">
        <f t="shared" si="45"/>
        <v>850368.33366831532</v>
      </c>
      <c r="M16" s="302">
        <f t="shared" si="45"/>
        <v>861119.0919550847</v>
      </c>
      <c r="N16" s="302">
        <f>31.3%*N13</f>
        <v>791445.20119205129</v>
      </c>
      <c r="O16" s="302">
        <f t="shared" ref="O16:R16" si="46">31.3%*O13</f>
        <v>799381.87933795759</v>
      </c>
      <c r="P16" s="302">
        <f t="shared" si="46"/>
        <v>803507.80371008965</v>
      </c>
      <c r="Q16" s="302">
        <f t="shared" si="46"/>
        <v>809320.35884314845</v>
      </c>
      <c r="R16" s="302">
        <f t="shared" si="46"/>
        <v>815476.26147450821</v>
      </c>
      <c r="S16" s="302">
        <f>28.8%*S13</f>
        <v>755087.44294295227</v>
      </c>
      <c r="T16" s="302">
        <f t="shared" ref="T16:W16" si="47">28.8%*T13</f>
        <v>761675.40508735634</v>
      </c>
      <c r="U16" s="302">
        <f t="shared" si="47"/>
        <v>768108.04420880496</v>
      </c>
      <c r="V16" s="302">
        <f t="shared" si="47"/>
        <v>774813.2803169504</v>
      </c>
      <c r="W16" s="302">
        <f t="shared" si="47"/>
        <v>781446.12191839819</v>
      </c>
      <c r="X16" s="302">
        <f>26%*X13</f>
        <v>710363.24406426447</v>
      </c>
      <c r="Y16" s="302">
        <f t="shared" ref="Y16:AB16" si="48">26%*Y13</f>
        <v>713638.80030429526</v>
      </c>
      <c r="Z16" s="302">
        <f t="shared" si="48"/>
        <v>715815.85989659315</v>
      </c>
      <c r="AA16" s="302">
        <f t="shared" si="48"/>
        <v>717800.41131885932</v>
      </c>
      <c r="AB16" s="302">
        <f t="shared" si="48"/>
        <v>719760.12703263189</v>
      </c>
      <c r="AC16" s="302">
        <f>24%*AC13</f>
        <v>666191.84736938041</v>
      </c>
      <c r="AD16" s="302">
        <f t="shared" ref="AD16:AH16" si="49">24%*AD13</f>
        <v>667944.69341190741</v>
      </c>
      <c r="AE16" s="302">
        <f t="shared" si="49"/>
        <v>669687.2336731751</v>
      </c>
      <c r="AF16" s="302">
        <f t="shared" si="49"/>
        <v>671408.4059652217</v>
      </c>
      <c r="AG16" s="302">
        <f t="shared" si="49"/>
        <v>673108.5938159005</v>
      </c>
      <c r="AH16" s="302">
        <f t="shared" si="49"/>
        <v>674788.17850339192</v>
      </c>
      <c r="AI16" s="302">
        <f>21%*AI13</f>
        <v>591891.59670426545</v>
      </c>
      <c r="AJ16" s="302">
        <f t="shared" ref="AJ16:AK16" si="50">21%*AJ13</f>
        <v>592530.36807368649</v>
      </c>
      <c r="AK16" s="303">
        <f t="shared" si="50"/>
        <v>594961.14158363664</v>
      </c>
    </row>
    <row r="17" spans="2:37" hidden="1" x14ac:dyDescent="0.25">
      <c r="B17" s="286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85"/>
    </row>
    <row r="18" spans="2:37" x14ac:dyDescent="0.25">
      <c r="B18" s="304" t="s">
        <v>287</v>
      </c>
      <c r="C18" s="272" t="s">
        <v>288</v>
      </c>
      <c r="D18" s="272"/>
      <c r="E18" s="272"/>
      <c r="F18" s="272"/>
      <c r="G18" s="305">
        <f>G25/G33</f>
        <v>0.99989284578580018</v>
      </c>
      <c r="H18" s="305">
        <f>H25/H33</f>
        <v>1.0442530453188554</v>
      </c>
      <c r="I18" s="305">
        <f t="shared" ref="I18:M18" si="51">I25/I33</f>
        <v>1.0943291271256042</v>
      </c>
      <c r="J18" s="305">
        <f t="shared" si="51"/>
        <v>1.1691778909926309</v>
      </c>
      <c r="K18" s="305">
        <f t="shared" si="51"/>
        <v>1.1932986603028881</v>
      </c>
      <c r="L18" s="305">
        <f t="shared" si="51"/>
        <v>1.1666775407367815</v>
      </c>
      <c r="M18" s="305">
        <f t="shared" si="51"/>
        <v>1.115752091340368</v>
      </c>
      <c r="N18" s="305">
        <f>N25/N33</f>
        <v>1.0700818834719135</v>
      </c>
      <c r="O18" s="305">
        <f t="shared" ref="O18:AI18" si="52">O25/O33</f>
        <v>1.0267933551032584</v>
      </c>
      <c r="P18" s="305">
        <f t="shared" si="52"/>
        <v>0.9836908079089921</v>
      </c>
      <c r="Q18" s="305">
        <f t="shared" si="52"/>
        <v>0.71012790583837626</v>
      </c>
      <c r="R18" s="305">
        <f t="shared" si="52"/>
        <v>0.7153375209777868</v>
      </c>
      <c r="S18" s="305">
        <f>S25/S33</f>
        <v>0.71969762729709075</v>
      </c>
      <c r="T18" s="305">
        <f t="shared" si="52"/>
        <v>0.72584104475556799</v>
      </c>
      <c r="U18" s="305">
        <f t="shared" si="52"/>
        <v>0.73186319548583101</v>
      </c>
      <c r="V18" s="305">
        <f t="shared" si="52"/>
        <v>0.73817214353358507</v>
      </c>
      <c r="W18" s="305">
        <f t="shared" si="52"/>
        <v>0.74443949319369829</v>
      </c>
      <c r="X18" s="305">
        <f t="shared" si="52"/>
        <v>0.74890442864801454</v>
      </c>
      <c r="Y18" s="305">
        <f t="shared" si="52"/>
        <v>0.75412095717229122</v>
      </c>
      <c r="Z18" s="305">
        <f t="shared" si="52"/>
        <v>0.75819812558638355</v>
      </c>
      <c r="AA18" s="305">
        <f t="shared" si="52"/>
        <v>0.76208971708126783</v>
      </c>
      <c r="AB18" s="305">
        <f t="shared" si="52"/>
        <v>0.76597279662968654</v>
      </c>
      <c r="AC18" s="305">
        <f t="shared" si="52"/>
        <v>0.7698609272109268</v>
      </c>
      <c r="AD18" s="305">
        <f t="shared" si="52"/>
        <v>0.77371475387914668</v>
      </c>
      <c r="AE18" s="305">
        <f t="shared" si="52"/>
        <v>0.77757429855959515</v>
      </c>
      <c r="AF18" s="305">
        <f t="shared" si="52"/>
        <v>0.78142666535963323</v>
      </c>
      <c r="AG18" s="305">
        <f t="shared" si="52"/>
        <v>0.78527218799358567</v>
      </c>
      <c r="AH18" s="305">
        <f t="shared" si="52"/>
        <v>0.78752357790319127</v>
      </c>
      <c r="AI18" s="305">
        <f t="shared" si="52"/>
        <v>0.7897576281765224</v>
      </c>
      <c r="AJ18" s="305">
        <f t="shared" ref="AJ18:AK18" si="53">AJ25/AJ33</f>
        <v>0.79091252446420568</v>
      </c>
      <c r="AK18" s="306">
        <f t="shared" si="53"/>
        <v>0.79415713320789838</v>
      </c>
    </row>
    <row r="19" spans="2:37" x14ac:dyDescent="0.25">
      <c r="B19" s="286" t="s">
        <v>289</v>
      </c>
      <c r="C19" s="272" t="s">
        <v>288</v>
      </c>
      <c r="D19" s="272"/>
      <c r="E19" s="272"/>
      <c r="F19" s="272"/>
      <c r="G19" s="305">
        <f>G26/G33</f>
        <v>0.51994427980861613</v>
      </c>
      <c r="H19" s="305">
        <f>H26/H33</f>
        <v>0.54301158356580481</v>
      </c>
      <c r="I19" s="305">
        <f t="shared" ref="I19:M19" si="54">I26/I33</f>
        <v>0.56905114610531415</v>
      </c>
      <c r="J19" s="305">
        <f t="shared" si="54"/>
        <v>0.60797250331616814</v>
      </c>
      <c r="K19" s="305">
        <f t="shared" si="54"/>
        <v>0.62051530335750171</v>
      </c>
      <c r="L19" s="305">
        <f t="shared" si="54"/>
        <v>0.60667232118312631</v>
      </c>
      <c r="M19" s="305">
        <f t="shared" si="54"/>
        <v>0.58019108749699144</v>
      </c>
      <c r="N19" s="305">
        <f>N26/N33</f>
        <v>0.57784421707483336</v>
      </c>
      <c r="O19" s="305">
        <f t="shared" ref="O19:AH19" si="55">O26/O33</f>
        <v>0.55446841175575956</v>
      </c>
      <c r="P19" s="305">
        <f t="shared" si="55"/>
        <v>0.53119303627085579</v>
      </c>
      <c r="Q19" s="305">
        <f t="shared" si="55"/>
        <v>0.38346906915272322</v>
      </c>
      <c r="R19" s="305">
        <f t="shared" si="55"/>
        <v>0.38628226132800486</v>
      </c>
      <c r="S19" s="305">
        <f t="shared" si="55"/>
        <v>0.38863671874042904</v>
      </c>
      <c r="T19" s="305">
        <f t="shared" si="55"/>
        <v>0.39195416416800677</v>
      </c>
      <c r="U19" s="305">
        <f t="shared" si="55"/>
        <v>0.39520612556234874</v>
      </c>
      <c r="V19" s="305">
        <f t="shared" si="55"/>
        <v>0.39861295750813591</v>
      </c>
      <c r="W19" s="305">
        <f t="shared" si="55"/>
        <v>0.40199732632459706</v>
      </c>
      <c r="X19" s="305">
        <f t="shared" si="55"/>
        <v>0.41189743575640808</v>
      </c>
      <c r="Y19" s="305">
        <f t="shared" si="55"/>
        <v>0.4147665264447602</v>
      </c>
      <c r="Z19" s="305">
        <f t="shared" si="55"/>
        <v>0.41700896907251106</v>
      </c>
      <c r="AA19" s="305">
        <f t="shared" si="55"/>
        <v>0.41914934439469731</v>
      </c>
      <c r="AB19" s="305">
        <f t="shared" si="55"/>
        <v>0.42128503814632762</v>
      </c>
      <c r="AC19" s="305">
        <f t="shared" si="55"/>
        <v>0.4234235099660098</v>
      </c>
      <c r="AD19" s="305">
        <f t="shared" si="55"/>
        <v>0.42554311463353073</v>
      </c>
      <c r="AE19" s="305">
        <f t="shared" si="55"/>
        <v>0.42766586420777736</v>
      </c>
      <c r="AF19" s="305">
        <f t="shared" si="55"/>
        <v>0.42978466594779835</v>
      </c>
      <c r="AG19" s="305">
        <f t="shared" si="55"/>
        <v>0.43189970339647216</v>
      </c>
      <c r="AH19" s="305">
        <f t="shared" si="55"/>
        <v>0.43313796784675523</v>
      </c>
      <c r="AI19" s="305">
        <f>AI26/AI33</f>
        <v>0.43436669549708734</v>
      </c>
      <c r="AJ19" s="305">
        <f t="shared" ref="AJ19:AK19" si="56">AJ26/AJ33</f>
        <v>0.43500188845531312</v>
      </c>
      <c r="AK19" s="306">
        <f t="shared" si="56"/>
        <v>0.43678642326434408</v>
      </c>
    </row>
    <row r="20" spans="2:37" ht="28.5" customHeight="1" x14ac:dyDescent="0.25">
      <c r="B20" s="287" t="s">
        <v>290</v>
      </c>
      <c r="C20" s="272" t="s">
        <v>288</v>
      </c>
      <c r="D20" s="272"/>
      <c r="E20" s="272"/>
      <c r="F20" s="272"/>
      <c r="G20" s="305">
        <f>G27/G33</f>
        <v>0.12998606995215403</v>
      </c>
      <c r="H20" s="305">
        <f t="shared" ref="H20:AI20" si="57">H27/H33</f>
        <v>0.1357528958914512</v>
      </c>
      <c r="I20" s="305">
        <f t="shared" si="57"/>
        <v>0.14226278652632854</v>
      </c>
      <c r="J20" s="305">
        <f t="shared" si="57"/>
        <v>0.15199312582904204</v>
      </c>
      <c r="K20" s="305">
        <f t="shared" si="57"/>
        <v>0.15512882583937543</v>
      </c>
      <c r="L20" s="305">
        <f t="shared" si="57"/>
        <v>0.15166808029578158</v>
      </c>
      <c r="M20" s="305">
        <f t="shared" si="57"/>
        <v>0.14504777187424786</v>
      </c>
      <c r="N20" s="305">
        <f t="shared" si="57"/>
        <v>0.16051228252078703</v>
      </c>
      <c r="O20" s="305">
        <f t="shared" si="57"/>
        <v>0.15401900326548876</v>
      </c>
      <c r="P20" s="305">
        <f t="shared" si="57"/>
        <v>0.14755362118634882</v>
      </c>
      <c r="Q20" s="305">
        <f t="shared" si="57"/>
        <v>0.10651918587575644</v>
      </c>
      <c r="R20" s="305">
        <f t="shared" si="57"/>
        <v>0.10730062814666801</v>
      </c>
      <c r="S20" s="305">
        <f t="shared" si="57"/>
        <v>0.12234859664050544</v>
      </c>
      <c r="T20" s="305">
        <f t="shared" si="57"/>
        <v>0.12339297760844659</v>
      </c>
      <c r="U20" s="305">
        <f t="shared" si="57"/>
        <v>0.12441674323259128</v>
      </c>
      <c r="V20" s="305">
        <f t="shared" si="57"/>
        <v>0.12548926440070948</v>
      </c>
      <c r="W20" s="305">
        <f t="shared" si="57"/>
        <v>0.12655471384292871</v>
      </c>
      <c r="X20" s="305">
        <f t="shared" si="57"/>
        <v>0.14229184144312276</v>
      </c>
      <c r="Y20" s="305">
        <f t="shared" si="57"/>
        <v>0.14328298186273533</v>
      </c>
      <c r="Z20" s="305">
        <f t="shared" si="57"/>
        <v>0.1440576438614129</v>
      </c>
      <c r="AA20" s="305">
        <f t="shared" si="57"/>
        <v>0.14479704624544087</v>
      </c>
      <c r="AB20" s="305">
        <f t="shared" si="57"/>
        <v>0.14553483135964046</v>
      </c>
      <c r="AC20" s="305">
        <f t="shared" si="57"/>
        <v>0.16167079471429463</v>
      </c>
      <c r="AD20" s="305">
        <f t="shared" si="57"/>
        <v>0.16248009831462082</v>
      </c>
      <c r="AE20" s="305">
        <f t="shared" si="57"/>
        <v>0.16329060269751497</v>
      </c>
      <c r="AF20" s="305">
        <f t="shared" si="57"/>
        <v>0.16409959972552296</v>
      </c>
      <c r="AG20" s="305">
        <f t="shared" si="57"/>
        <v>0.16490715947865298</v>
      </c>
      <c r="AH20" s="305">
        <f t="shared" si="57"/>
        <v>0.16537995135967015</v>
      </c>
      <c r="AI20" s="305">
        <f t="shared" si="57"/>
        <v>0.18954183076236539</v>
      </c>
      <c r="AJ20" s="305">
        <f t="shared" ref="AJ20:AK20" si="58">AJ27/AJ33</f>
        <v>0.18981900587140935</v>
      </c>
      <c r="AK20" s="306">
        <f t="shared" si="58"/>
        <v>0.19059771196989558</v>
      </c>
    </row>
    <row r="21" spans="2:37" s="373" customFormat="1" ht="21.75" customHeight="1" x14ac:dyDescent="0.25">
      <c r="B21" s="507" t="s">
        <v>617</v>
      </c>
      <c r="C21" s="272" t="s">
        <v>288</v>
      </c>
      <c r="D21" s="272"/>
      <c r="E21" s="272"/>
      <c r="F21" s="272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6"/>
    </row>
    <row r="22" spans="2:37" s="373" customFormat="1" ht="24" customHeight="1" x14ac:dyDescent="0.25">
      <c r="B22" s="507" t="s">
        <v>618</v>
      </c>
      <c r="C22" s="272" t="s">
        <v>288</v>
      </c>
      <c r="D22" s="272"/>
      <c r="E22" s="272"/>
      <c r="F22" s="272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6"/>
    </row>
    <row r="23" spans="2:37" x14ac:dyDescent="0.25">
      <c r="B23" s="286" t="s">
        <v>291</v>
      </c>
      <c r="C23" s="272" t="s">
        <v>288</v>
      </c>
      <c r="D23" s="272"/>
      <c r="E23" s="272"/>
      <c r="F23" s="272"/>
      <c r="G23" s="305">
        <f>G30/G33</f>
        <v>0.34996249602503005</v>
      </c>
      <c r="H23" s="305">
        <f>H30/H33</f>
        <v>0.36548856586159933</v>
      </c>
      <c r="I23" s="305">
        <f t="shared" ref="I23:AI23" si="59">I30/I33</f>
        <v>0.38301519449396138</v>
      </c>
      <c r="J23" s="305">
        <f t="shared" si="59"/>
        <v>0.40921226184742082</v>
      </c>
      <c r="K23" s="305">
        <f t="shared" si="59"/>
        <v>0.41765453110601075</v>
      </c>
      <c r="L23" s="305">
        <f t="shared" si="59"/>
        <v>0.40833713925787352</v>
      </c>
      <c r="M23" s="305">
        <f t="shared" si="59"/>
        <v>0.39051323196912879</v>
      </c>
      <c r="N23" s="305">
        <f t="shared" si="59"/>
        <v>0.33172538387629319</v>
      </c>
      <c r="O23" s="305">
        <f t="shared" si="59"/>
        <v>0.31830594008201013</v>
      </c>
      <c r="P23" s="305">
        <f t="shared" si="59"/>
        <v>0.30494415045178758</v>
      </c>
      <c r="Q23" s="305">
        <f t="shared" si="59"/>
        <v>0.22013965080989664</v>
      </c>
      <c r="R23" s="305">
        <f t="shared" si="59"/>
        <v>0.22175463150311389</v>
      </c>
      <c r="S23" s="305">
        <f t="shared" si="59"/>
        <v>0.2087123119161563</v>
      </c>
      <c r="T23" s="305">
        <f t="shared" si="59"/>
        <v>0.21049390297911472</v>
      </c>
      <c r="U23" s="305">
        <f t="shared" si="59"/>
        <v>0.21224032669089096</v>
      </c>
      <c r="V23" s="305">
        <f t="shared" si="59"/>
        <v>0.21406992162473965</v>
      </c>
      <c r="W23" s="305">
        <f t="shared" si="59"/>
        <v>0.21588745302617246</v>
      </c>
      <c r="X23" s="305">
        <f t="shared" si="59"/>
        <v>0.19471515144848378</v>
      </c>
      <c r="Y23" s="305">
        <f t="shared" si="59"/>
        <v>0.19607144886479572</v>
      </c>
      <c r="Z23" s="305">
        <f t="shared" si="59"/>
        <v>0.19713151265245976</v>
      </c>
      <c r="AA23" s="305">
        <f t="shared" si="59"/>
        <v>0.19814332644112964</v>
      </c>
      <c r="AB23" s="305">
        <f t="shared" si="59"/>
        <v>0.19915292712371852</v>
      </c>
      <c r="AC23" s="305">
        <f t="shared" si="59"/>
        <v>0.18476662253062245</v>
      </c>
      <c r="AD23" s="305">
        <f t="shared" si="59"/>
        <v>0.18569154093099521</v>
      </c>
      <c r="AE23" s="305">
        <f t="shared" si="59"/>
        <v>0.18661783165430282</v>
      </c>
      <c r="AF23" s="305">
        <f t="shared" si="59"/>
        <v>0.18754239968631195</v>
      </c>
      <c r="AG23" s="305">
        <f t="shared" si="59"/>
        <v>0.18846532511846056</v>
      </c>
      <c r="AH23" s="305">
        <f t="shared" si="59"/>
        <v>0.18900565869676589</v>
      </c>
      <c r="AI23" s="305">
        <f t="shared" si="59"/>
        <v>0.1658491019170697</v>
      </c>
      <c r="AJ23" s="305">
        <f t="shared" ref="AJ23:AK23" si="60">AJ30/AJ33</f>
        <v>0.16609163013748318</v>
      </c>
      <c r="AK23" s="306">
        <f t="shared" si="60"/>
        <v>0.16677299797365863</v>
      </c>
    </row>
    <row r="24" spans="2:37" hidden="1" x14ac:dyDescent="0.25">
      <c r="B24" s="286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85"/>
    </row>
    <row r="25" spans="2:37" x14ac:dyDescent="0.25">
      <c r="B25" s="298" t="s">
        <v>509</v>
      </c>
      <c r="C25" s="272" t="s">
        <v>286</v>
      </c>
      <c r="D25" s="272"/>
      <c r="E25" s="272"/>
      <c r="F25" s="272"/>
      <c r="G25" s="307">
        <f>70/100*G32</f>
        <v>4735347.5331789106</v>
      </c>
      <c r="H25" s="307">
        <f t="shared" ref="H25:AH25" si="61">70/100*H32</f>
        <v>4922241.278561132</v>
      </c>
      <c r="I25" s="307">
        <f>70/100*I32</f>
        <v>4995448.3159593139</v>
      </c>
      <c r="J25" s="307">
        <f t="shared" si="61"/>
        <v>5493166.022919043</v>
      </c>
      <c r="K25" s="307">
        <f t="shared" si="61"/>
        <v>5513333.3620697772</v>
      </c>
      <c r="L25" s="307">
        <f t="shared" si="61"/>
        <v>5751283.4161142102</v>
      </c>
      <c r="M25" s="307">
        <f t="shared" si="61"/>
        <v>5823993.8586334232</v>
      </c>
      <c r="N25" s="307">
        <f t="shared" si="61"/>
        <v>5900017.474275142</v>
      </c>
      <c r="O25" s="307">
        <f t="shared" si="61"/>
        <v>5959183.339047607</v>
      </c>
      <c r="P25" s="307">
        <f t="shared" si="61"/>
        <v>5989941.0287227128</v>
      </c>
      <c r="Q25" s="307">
        <f t="shared" si="61"/>
        <v>6033272.1106517985</v>
      </c>
      <c r="R25" s="307">
        <f t="shared" si="61"/>
        <v>6079162.7585959071</v>
      </c>
      <c r="S25" s="307">
        <f t="shared" si="61"/>
        <v>6117606.5979174366</v>
      </c>
      <c r="T25" s="307">
        <f t="shared" si="61"/>
        <v>6170981.2912170067</v>
      </c>
      <c r="U25" s="307">
        <f t="shared" si="61"/>
        <v>6223097.5803954098</v>
      </c>
      <c r="V25" s="307">
        <f t="shared" si="61"/>
        <v>6277422.4099752922</v>
      </c>
      <c r="W25" s="307">
        <f t="shared" si="61"/>
        <v>6331160.709987022</v>
      </c>
      <c r="X25" s="307">
        <f t="shared" si="61"/>
        <v>6375054.7544228854</v>
      </c>
      <c r="Y25" s="307">
        <f t="shared" si="61"/>
        <v>6404450.7719616229</v>
      </c>
      <c r="Z25" s="307">
        <f t="shared" si="61"/>
        <v>6423988.4862514772</v>
      </c>
      <c r="AA25" s="307">
        <f t="shared" si="61"/>
        <v>6441798.5631179679</v>
      </c>
      <c r="AB25" s="307">
        <f t="shared" si="61"/>
        <v>6459385.7554210555</v>
      </c>
      <c r="AC25" s="307">
        <f t="shared" si="61"/>
        <v>6476865.1827578656</v>
      </c>
      <c r="AD25" s="307">
        <f t="shared" si="61"/>
        <v>6493906.7415046562</v>
      </c>
      <c r="AE25" s="307">
        <f t="shared" si="61"/>
        <v>6510848.1051558694</v>
      </c>
      <c r="AF25" s="307">
        <f t="shared" si="61"/>
        <v>6527581.7246618774</v>
      </c>
      <c r="AG25" s="307">
        <f t="shared" si="61"/>
        <v>6544111.3287656996</v>
      </c>
      <c r="AH25" s="307">
        <f t="shared" si="61"/>
        <v>6560440.6243385319</v>
      </c>
      <c r="AI25" s="307">
        <f>70/100*AI32</f>
        <v>6576573.29671406</v>
      </c>
      <c r="AJ25" s="307">
        <f t="shared" ref="AJ25:AK25" si="62">70/100*AJ32</f>
        <v>6583670.7563742949</v>
      </c>
      <c r="AK25" s="308">
        <f t="shared" si="62"/>
        <v>6610679.3509292956</v>
      </c>
    </row>
    <row r="26" spans="2:37" x14ac:dyDescent="0.25">
      <c r="B26" s="286" t="s">
        <v>289</v>
      </c>
      <c r="C26" s="272" t="s">
        <v>286</v>
      </c>
      <c r="D26" s="272"/>
      <c r="E26" s="272"/>
      <c r="F26" s="272"/>
      <c r="G26" s="309">
        <f>52%*G25</f>
        <v>2462380.7172530335</v>
      </c>
      <c r="H26" s="309">
        <f>52%*H25</f>
        <v>2559565.4648517887</v>
      </c>
      <c r="I26" s="309">
        <f>52%*I25</f>
        <v>2597633.1242988431</v>
      </c>
      <c r="J26" s="309">
        <f t="shared" ref="J26:M26" si="63">52%*J25</f>
        <v>2856446.3319179025</v>
      </c>
      <c r="K26" s="309">
        <f t="shared" si="63"/>
        <v>2866933.3482762841</v>
      </c>
      <c r="L26" s="309">
        <f t="shared" si="63"/>
        <v>2990667.3763793893</v>
      </c>
      <c r="M26" s="309">
        <f t="shared" si="63"/>
        <v>3028476.8064893801</v>
      </c>
      <c r="N26" s="309">
        <f>54%*N25</f>
        <v>3186009.4361085771</v>
      </c>
      <c r="O26" s="309">
        <f t="shared" ref="O26:R26" si="64">54%*O25</f>
        <v>3217959.0030857078</v>
      </c>
      <c r="P26" s="309">
        <f t="shared" si="64"/>
        <v>3234568.1555102649</v>
      </c>
      <c r="Q26" s="309">
        <f t="shared" si="64"/>
        <v>3257966.9397519715</v>
      </c>
      <c r="R26" s="309">
        <f t="shared" si="64"/>
        <v>3282747.8896417902</v>
      </c>
      <c r="S26" s="309">
        <f>54%*S25</f>
        <v>3303507.5628754161</v>
      </c>
      <c r="T26" s="309">
        <f t="shared" ref="T26:W26" si="65">54%*T25</f>
        <v>3332329.8972571837</v>
      </c>
      <c r="U26" s="309">
        <f t="shared" si="65"/>
        <v>3360472.6934135216</v>
      </c>
      <c r="V26" s="309">
        <f t="shared" si="65"/>
        <v>3389808.1013866579</v>
      </c>
      <c r="W26" s="309">
        <f t="shared" si="65"/>
        <v>3418826.7833929919</v>
      </c>
      <c r="X26" s="309">
        <f>55%*X25</f>
        <v>3506280.1149325874</v>
      </c>
      <c r="Y26" s="309">
        <f t="shared" ref="Y26:AB26" si="66">55%*Y25</f>
        <v>3522447.924578893</v>
      </c>
      <c r="Z26" s="309">
        <f t="shared" si="66"/>
        <v>3533193.6674383129</v>
      </c>
      <c r="AA26" s="309">
        <f t="shared" si="66"/>
        <v>3542989.2097148825</v>
      </c>
      <c r="AB26" s="309">
        <f t="shared" si="66"/>
        <v>3552662.1654815809</v>
      </c>
      <c r="AC26" s="309">
        <f>55%*AC25</f>
        <v>3562275.8505168264</v>
      </c>
      <c r="AD26" s="309">
        <f t="shared" ref="AD26:AF26" si="67">55%*AD25</f>
        <v>3571648.7078275611</v>
      </c>
      <c r="AE26" s="309">
        <f t="shared" si="67"/>
        <v>3580966.4578357283</v>
      </c>
      <c r="AF26" s="309">
        <f t="shared" si="67"/>
        <v>3590169.948564033</v>
      </c>
      <c r="AG26" s="309">
        <f t="shared" ref="AG26" si="68">55%*AG25</f>
        <v>3599261.230821135</v>
      </c>
      <c r="AH26" s="309">
        <f t="shared" ref="AH26" si="69">55%*AH25</f>
        <v>3608242.3433861928</v>
      </c>
      <c r="AI26" s="309">
        <f>55%*AI25</f>
        <v>3617115.3131927331</v>
      </c>
      <c r="AJ26" s="309">
        <f t="shared" ref="AJ26:AK26" si="70">55%*AJ25</f>
        <v>3621018.9160058624</v>
      </c>
      <c r="AK26" s="310">
        <f t="shared" si="70"/>
        <v>3635873.6430111127</v>
      </c>
    </row>
    <row r="27" spans="2:37" ht="29.25" customHeight="1" x14ac:dyDescent="0.25">
      <c r="B27" s="287" t="s">
        <v>290</v>
      </c>
      <c r="C27" s="272" t="s">
        <v>286</v>
      </c>
      <c r="D27" s="272"/>
      <c r="E27" s="272"/>
      <c r="F27" s="272"/>
      <c r="G27" s="309">
        <f>13%*G25</f>
        <v>615595.17931325838</v>
      </c>
      <c r="H27" s="309">
        <f>13%*H25</f>
        <v>639891.36621294718</v>
      </c>
      <c r="I27" s="309">
        <f>13%*I25</f>
        <v>649408.28107471077</v>
      </c>
      <c r="J27" s="309">
        <f t="shared" ref="J27:M27" si="71">13%*J25</f>
        <v>714111.58297947561</v>
      </c>
      <c r="K27" s="309">
        <f t="shared" si="71"/>
        <v>716733.33706907101</v>
      </c>
      <c r="L27" s="309">
        <f t="shared" si="71"/>
        <v>747666.84409484733</v>
      </c>
      <c r="M27" s="309">
        <f t="shared" si="71"/>
        <v>757119.20162234502</v>
      </c>
      <c r="N27" s="309">
        <f>15%*N25</f>
        <v>885002.62114127132</v>
      </c>
      <c r="O27" s="309">
        <f t="shared" ref="O27:R27" si="72">15%*O25</f>
        <v>893877.50085714099</v>
      </c>
      <c r="P27" s="309">
        <f t="shared" si="72"/>
        <v>898491.15430840687</v>
      </c>
      <c r="Q27" s="309">
        <f t="shared" si="72"/>
        <v>904990.81659776974</v>
      </c>
      <c r="R27" s="309">
        <f t="shared" si="72"/>
        <v>911874.41378938605</v>
      </c>
      <c r="S27" s="309">
        <f>17%*S25</f>
        <v>1039993.1216459643</v>
      </c>
      <c r="T27" s="309">
        <f t="shared" ref="T27:W27" si="73">17%*T25</f>
        <v>1049066.8195068913</v>
      </c>
      <c r="U27" s="309">
        <f t="shared" si="73"/>
        <v>1057926.5886672197</v>
      </c>
      <c r="V27" s="309">
        <f t="shared" si="73"/>
        <v>1067161.8096957998</v>
      </c>
      <c r="W27" s="309">
        <f t="shared" si="73"/>
        <v>1076297.3206977937</v>
      </c>
      <c r="X27" s="309">
        <f>19%*X25</f>
        <v>1211260.4033403483</v>
      </c>
      <c r="Y27" s="309">
        <f t="shared" ref="Y27:AB27" si="74">19%*Y25</f>
        <v>1216845.6466727084</v>
      </c>
      <c r="Z27" s="309">
        <f t="shared" si="74"/>
        <v>1220557.8123877808</v>
      </c>
      <c r="AA27" s="309">
        <f t="shared" si="74"/>
        <v>1223941.7269924139</v>
      </c>
      <c r="AB27" s="309">
        <f t="shared" si="74"/>
        <v>1227283.2935300006</v>
      </c>
      <c r="AC27" s="309">
        <f>21%*AC25</f>
        <v>1360141.6883791517</v>
      </c>
      <c r="AD27" s="309">
        <f t="shared" ref="AD27:AF27" si="75">21%*AD25</f>
        <v>1363720.4157159778</v>
      </c>
      <c r="AE27" s="309">
        <f t="shared" si="75"/>
        <v>1367278.1020827326</v>
      </c>
      <c r="AF27" s="309">
        <f t="shared" si="75"/>
        <v>1370792.1621789942</v>
      </c>
      <c r="AG27" s="309">
        <f t="shared" ref="AG27:AH27" si="76">21%*AG25</f>
        <v>1374263.3790407968</v>
      </c>
      <c r="AH27" s="309">
        <f t="shared" si="76"/>
        <v>1377692.5311110916</v>
      </c>
      <c r="AI27" s="309">
        <f>24%*AI25</f>
        <v>1578377.5912113744</v>
      </c>
      <c r="AJ27" s="309">
        <f t="shared" ref="AJ27:AK27" si="77">24%*AJ25</f>
        <v>1580080.9815298307</v>
      </c>
      <c r="AK27" s="310">
        <f t="shared" si="77"/>
        <v>1586563.0442230308</v>
      </c>
    </row>
    <row r="28" spans="2:37" s="373" customFormat="1" ht="29.25" customHeight="1" x14ac:dyDescent="0.25">
      <c r="B28" s="507" t="s">
        <v>617</v>
      </c>
      <c r="C28" s="272"/>
      <c r="D28" s="272"/>
      <c r="E28" s="272"/>
      <c r="F28" s="272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10"/>
    </row>
    <row r="29" spans="2:37" s="373" customFormat="1" ht="29.25" customHeight="1" x14ac:dyDescent="0.25">
      <c r="B29" s="507" t="s">
        <v>618</v>
      </c>
      <c r="C29" s="272"/>
      <c r="D29" s="272"/>
      <c r="E29" s="272"/>
      <c r="F29" s="272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10"/>
    </row>
    <row r="30" spans="2:37" ht="18" customHeight="1" x14ac:dyDescent="0.25">
      <c r="B30" s="286" t="s">
        <v>291</v>
      </c>
      <c r="C30" s="272" t="s">
        <v>286</v>
      </c>
      <c r="D30" s="272"/>
      <c r="E30" s="272"/>
      <c r="F30" s="272"/>
      <c r="G30" s="309">
        <f>35%*G25</f>
        <v>1657371.6366126186</v>
      </c>
      <c r="H30" s="309">
        <f>35%*H25</f>
        <v>1722784.447496396</v>
      </c>
      <c r="I30" s="309">
        <f>35%*I25</f>
        <v>1748406.9105857597</v>
      </c>
      <c r="J30" s="309">
        <f t="shared" ref="J30:M30" si="78">35%*J25</f>
        <v>1922608.1080216649</v>
      </c>
      <c r="K30" s="309">
        <f t="shared" si="78"/>
        <v>1929666.6767244218</v>
      </c>
      <c r="L30" s="309">
        <f t="shared" si="78"/>
        <v>2012949.1956399735</v>
      </c>
      <c r="M30" s="309">
        <f t="shared" si="78"/>
        <v>2038397.8505216979</v>
      </c>
      <c r="N30" s="309">
        <f>31%*N25</f>
        <v>1829005.4170252939</v>
      </c>
      <c r="O30" s="309">
        <f t="shared" ref="O30:R30" si="79">31%*O25</f>
        <v>1847346.8351047582</v>
      </c>
      <c r="P30" s="309">
        <f t="shared" si="79"/>
        <v>1856881.718904041</v>
      </c>
      <c r="Q30" s="309">
        <f t="shared" si="79"/>
        <v>1870314.3543020575</v>
      </c>
      <c r="R30" s="309">
        <f t="shared" si="79"/>
        <v>1884540.4551647312</v>
      </c>
      <c r="S30" s="309">
        <f>29%*S25</f>
        <v>1774105.9133960565</v>
      </c>
      <c r="T30" s="309">
        <f t="shared" ref="T30:W30" si="80">29%*T25</f>
        <v>1789584.5744529318</v>
      </c>
      <c r="U30" s="309">
        <f t="shared" si="80"/>
        <v>1804698.2983146687</v>
      </c>
      <c r="V30" s="309">
        <f t="shared" si="80"/>
        <v>1820452.4988928346</v>
      </c>
      <c r="W30" s="309">
        <f t="shared" si="80"/>
        <v>1836036.6058962361</v>
      </c>
      <c r="X30" s="309">
        <f>26%*X25</f>
        <v>1657514.2361499502</v>
      </c>
      <c r="Y30" s="309">
        <f t="shared" ref="Y30:AB30" si="81">26%*Y25</f>
        <v>1665157.2007100219</v>
      </c>
      <c r="Z30" s="309">
        <f t="shared" si="81"/>
        <v>1670237.0064253842</v>
      </c>
      <c r="AA30" s="309">
        <f t="shared" si="81"/>
        <v>1674867.6264106717</v>
      </c>
      <c r="AB30" s="309">
        <f t="shared" si="81"/>
        <v>1679440.2964094745</v>
      </c>
      <c r="AC30" s="309">
        <f>24%*AC25</f>
        <v>1554447.6438618877</v>
      </c>
      <c r="AD30" s="309">
        <f t="shared" ref="AD30:AF30" si="82">24%*AD25</f>
        <v>1558537.6179611175</v>
      </c>
      <c r="AE30" s="309">
        <f t="shared" si="82"/>
        <v>1562603.5452374085</v>
      </c>
      <c r="AF30" s="309">
        <f t="shared" si="82"/>
        <v>1566619.6139188504</v>
      </c>
      <c r="AG30" s="309">
        <f t="shared" ref="AG30:AH30" si="83">24%*AG25</f>
        <v>1570586.7189037679</v>
      </c>
      <c r="AH30" s="309">
        <f t="shared" si="83"/>
        <v>1574505.7498412477</v>
      </c>
      <c r="AI30" s="309">
        <f>21%*AI25</f>
        <v>1381080.3923099525</v>
      </c>
      <c r="AJ30" s="309">
        <f t="shared" ref="AJ30:AK30" si="84">21%*AJ25</f>
        <v>1382570.858838602</v>
      </c>
      <c r="AK30" s="310">
        <f t="shared" si="84"/>
        <v>1388242.6636951519</v>
      </c>
    </row>
    <row r="31" spans="2:37" hidden="1" x14ac:dyDescent="0.25">
      <c r="B31" s="286" t="s">
        <v>2</v>
      </c>
      <c r="C31" s="272"/>
      <c r="D31" s="272"/>
      <c r="E31" s="272"/>
      <c r="F31" s="272"/>
      <c r="G31" s="272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72"/>
      <c r="AK31" s="285"/>
    </row>
    <row r="32" spans="2:37" x14ac:dyDescent="0.25">
      <c r="B32" s="288" t="s">
        <v>297</v>
      </c>
      <c r="C32" s="272" t="s">
        <v>286</v>
      </c>
      <c r="D32" s="272"/>
      <c r="E32" s="272"/>
      <c r="F32" s="272" t="s">
        <v>2</v>
      </c>
      <c r="G32" s="504">
        <f>'[18]Operare_Apa rev 1'!D112</f>
        <v>6764782.190255587</v>
      </c>
      <c r="H32" s="504">
        <f>'[18]Operare_Apa rev 1'!E112</f>
        <v>7031773.2550873319</v>
      </c>
      <c r="I32" s="504">
        <f>'[18]Operare_Apa rev 1'!F112</f>
        <v>7136354.7370847352</v>
      </c>
      <c r="J32" s="504">
        <f>'[18]Operare_Apa rev 1'!G112</f>
        <v>7847380.0327414908</v>
      </c>
      <c r="K32" s="504">
        <f>'[18]Operare_Apa rev 1'!H112</f>
        <v>7876190.5172425397</v>
      </c>
      <c r="L32" s="504">
        <f>'[18]Operare_Apa rev 1'!I112</f>
        <v>8216119.1658774437</v>
      </c>
      <c r="M32" s="504">
        <f>'[18]Operare_Apa rev 1'!J112</f>
        <v>8319991.2266191766</v>
      </c>
      <c r="N32" s="504">
        <f>'[18]Operare_Apa rev 1'!K112</f>
        <v>8428596.3918216322</v>
      </c>
      <c r="O32" s="504">
        <f>'[18]Operare_Apa rev 1'!L112</f>
        <v>8513119.0557822958</v>
      </c>
      <c r="P32" s="504">
        <f>'[18]Operare_Apa rev 1'!M112</f>
        <v>8557058.6124610193</v>
      </c>
      <c r="Q32" s="504">
        <f>'[18]Operare_Apa rev 1'!N112</f>
        <v>8618960.158073999</v>
      </c>
      <c r="R32" s="504">
        <f>'[18]Operare_Apa rev 1'!O112</f>
        <v>8684518.2265655827</v>
      </c>
      <c r="S32" s="504">
        <f>'[18]Operare_Apa rev 1'!P112</f>
        <v>8739437.9970249105</v>
      </c>
      <c r="T32" s="504">
        <f>'[18]Operare_Apa rev 1'!Q112</f>
        <v>8815687.5588814393</v>
      </c>
      <c r="U32" s="504">
        <f>'[18]Operare_Apa rev 1'!R112</f>
        <v>8890139.4005648717</v>
      </c>
      <c r="V32" s="504">
        <f>'[18]Operare_Apa rev 1'!S112</f>
        <v>8967746.2999647036</v>
      </c>
      <c r="W32" s="504">
        <f>'[18]Operare_Apa rev 1'!T112</f>
        <v>9044515.29998146</v>
      </c>
      <c r="X32" s="504">
        <f>'[18]Operare_Apa rev 1'!U112</f>
        <v>9107221.0777469799</v>
      </c>
      <c r="Y32" s="504">
        <f>'[18]Operare_Apa rev 1'!V112</f>
        <v>9149215.3885166049</v>
      </c>
      <c r="Z32" s="504">
        <f>'[18]Operare_Apa rev 1'!W112</f>
        <v>9177126.4089306816</v>
      </c>
      <c r="AA32" s="504">
        <f>'[18]Operare_Apa rev 1'!X112</f>
        <v>9202569.3758828118</v>
      </c>
      <c r="AB32" s="504">
        <f>'[18]Operare_Apa rev 1'!Y112</f>
        <v>9227693.9363157935</v>
      </c>
      <c r="AC32" s="504">
        <f>'[18]Operare_Apa rev 1'!Z112</f>
        <v>9252664.5467969514</v>
      </c>
      <c r="AD32" s="504">
        <f>'[18]Operare_Apa rev 1'!AA112</f>
        <v>9277009.6307209376</v>
      </c>
      <c r="AE32" s="504">
        <f>'[18]Operare_Apa rev 1'!AB112</f>
        <v>9301211.5787940994</v>
      </c>
      <c r="AF32" s="504">
        <f>'[18]Operare_Apa rev 1'!AC112</f>
        <v>9325116.7495169677</v>
      </c>
      <c r="AG32" s="504">
        <f>'[18]Operare_Apa rev 1'!AD112</f>
        <v>9348730.4696652852</v>
      </c>
      <c r="AH32" s="504">
        <f>'[18]Operare_Apa rev 1'!AE112</f>
        <v>9372058.034769332</v>
      </c>
      <c r="AI32" s="504">
        <f>'[18]Operare_Apa rev 1'!AF112</f>
        <v>9395104.7095915154</v>
      </c>
      <c r="AJ32" s="504">
        <f>'[18]Operare_Apa rev 1'!AG112</f>
        <v>9405243.9376775641</v>
      </c>
      <c r="AK32" s="505">
        <f>'[18]Operare_Apa rev 1'!AH112</f>
        <v>9443827.6441847086</v>
      </c>
    </row>
    <row r="33" spans="2:40" x14ac:dyDescent="0.25">
      <c r="B33" s="286" t="s">
        <v>292</v>
      </c>
      <c r="C33" s="272" t="s">
        <v>273</v>
      </c>
      <c r="D33" s="272"/>
      <c r="E33" s="272"/>
      <c r="F33" s="272"/>
      <c r="G33" s="283">
        <f>'prognoze cantitati'!H243</f>
        <v>4735855</v>
      </c>
      <c r="H33" s="283">
        <f>'prognoze cantitati'!I243</f>
        <v>4713648</v>
      </c>
      <c r="I33" s="283">
        <f>'prognoze cantitati'!J243</f>
        <v>4564850</v>
      </c>
      <c r="J33" s="283">
        <f>'prognoze cantitati'!K243</f>
        <v>4698315</v>
      </c>
      <c r="K33" s="283">
        <f>'prognoze cantitati'!L243</f>
        <v>4620246</v>
      </c>
      <c r="L33" s="283">
        <f>'prognoze cantitati'!M243</f>
        <v>4929625.552303127</v>
      </c>
      <c r="M33" s="283">
        <f>'prognoze cantitati'!N243</f>
        <v>5219792.0163761294</v>
      </c>
      <c r="N33" s="311">
        <f>'prognoze cantitati'!O243</f>
        <v>5513613.084572887</v>
      </c>
      <c r="O33" s="311">
        <f>'prognoze cantitati'!P243</f>
        <v>5803683.1943154987</v>
      </c>
      <c r="P33" s="311">
        <f>'prognoze cantitati'!Q243</f>
        <v>6089251.8061192278</v>
      </c>
      <c r="Q33" s="311">
        <f>'prognoze cantitati'!R243</f>
        <v>8496035.8000984676</v>
      </c>
      <c r="R33" s="311">
        <f>'prognoze cantitati'!S243</f>
        <v>8498313.8453109078</v>
      </c>
      <c r="S33" s="311">
        <f>'prognoze cantitati'!T243</f>
        <v>8500245.6113310102</v>
      </c>
      <c r="T33" s="311">
        <f>'prognoze cantitati'!U243</f>
        <v>8501835.678492289</v>
      </c>
      <c r="U33" s="311">
        <f>'prognoze cantitati'!V243</f>
        <v>8503088.581007747</v>
      </c>
      <c r="V33" s="311">
        <f>'prognoze cantitati'!W243</f>
        <v>8504008.8073842153</v>
      </c>
      <c r="W33" s="311">
        <f>'prognoze cantitati'!X243</f>
        <v>8504600.8008332457</v>
      </c>
      <c r="X33" s="311">
        <f>'prognoze cantitati'!Y243</f>
        <v>8512507.7520661373</v>
      </c>
      <c r="Y33" s="311">
        <f>'prognoze cantitati'!Z243</f>
        <v>8492604.1519602295</v>
      </c>
      <c r="Z33" s="311">
        <f>'prognoze cantitati'!AA243</f>
        <v>8472704.2569291797</v>
      </c>
      <c r="AA33" s="311">
        <f>'prognoze cantitati'!AB243</f>
        <v>8452808.6637744606</v>
      </c>
      <c r="AB33" s="311">
        <f>'prognoze cantitati'!AC243</f>
        <v>8432917.9624167234</v>
      </c>
      <c r="AC33" s="311">
        <f>'prognoze cantitati'!AD243</f>
        <v>8413032.7359545697</v>
      </c>
      <c r="AD33" s="283">
        <f>'prognoze cantitati'!AE243</f>
        <v>8393153.5607229695</v>
      </c>
      <c r="AE33" s="283">
        <f>'prognoze cantitati'!AF243</f>
        <v>8373281.0063511413</v>
      </c>
      <c r="AF33" s="283">
        <f>'prognoze cantitati'!AG243</f>
        <v>8353415.6358200442</v>
      </c>
      <c r="AG33" s="283">
        <f>'prognoze cantitati'!AH243</f>
        <v>8333558.0055194236</v>
      </c>
      <c r="AH33" s="283">
        <f>'prognoze cantitati'!AI243</f>
        <v>8330468.8372707926</v>
      </c>
      <c r="AI33" s="283">
        <f>'prognoze cantitati'!AJ243</f>
        <v>8327331.1482900921</v>
      </c>
      <c r="AJ33" s="283">
        <f>'prognoze cantitati'!AK243</f>
        <v>8324145.278688468</v>
      </c>
      <c r="AK33" s="312">
        <f>'prognoze cantitati'!AL243</f>
        <v>8324145.278688468</v>
      </c>
    </row>
    <row r="34" spans="2:40" x14ac:dyDescent="0.25">
      <c r="B34" s="286" t="s">
        <v>298</v>
      </c>
      <c r="C34" s="272" t="s">
        <v>299</v>
      </c>
      <c r="D34" s="272"/>
      <c r="E34" s="272"/>
      <c r="F34" s="272"/>
      <c r="G34" s="313">
        <f>'[18]Populatie conectata_apa'!E285</f>
        <v>395997.07924372971</v>
      </c>
      <c r="H34" s="313">
        <f>'[18]Populatie conectata_apa'!F285</f>
        <v>408692.63472787931</v>
      </c>
      <c r="I34" s="313">
        <f>'[18]Populatie conectata_apa'!G285</f>
        <v>429397.05773045</v>
      </c>
      <c r="J34" s="313">
        <f>'[18]Populatie conectata_apa'!H285</f>
        <v>517172.12083868106</v>
      </c>
      <c r="K34" s="313">
        <f>'[18]Populatie conectata_apa'!I285</f>
        <v>486132.00130868366</v>
      </c>
      <c r="L34" s="313">
        <f>'[18]Populatie conectata_apa'!J285</f>
        <v>510362.99866945855</v>
      </c>
      <c r="M34" s="313">
        <f>'[18]Populatie conectata_apa'!K285</f>
        <v>518058.2720798566</v>
      </c>
      <c r="N34" s="313">
        <f>'[18]Populatie conectata_apa'!L285</f>
        <v>526197.60246598115</v>
      </c>
      <c r="O34" s="313">
        <f>'[18]Populatie conectata_apa'!M285</f>
        <v>529900.85086470866</v>
      </c>
      <c r="P34" s="313">
        <f>'[18]Populatie conectata_apa'!N285</f>
        <v>531486.01714077126</v>
      </c>
      <c r="Q34" s="313">
        <f>'[18]Populatie conectata_apa'!O285</f>
        <v>535012.21770903841</v>
      </c>
      <c r="R34" s="313">
        <f>'[18]Populatie conectata_apa'!P285</f>
        <v>538914.44887480512</v>
      </c>
      <c r="S34" s="313">
        <f>'[18]Populatie conectata_apa'!Q285</f>
        <v>542759.24473069713</v>
      </c>
      <c r="T34" s="313">
        <f>'[18]Populatie conectata_apa'!R285</f>
        <v>545445.66936766566</v>
      </c>
      <c r="U34" s="313">
        <f>'[18]Populatie conectata_apa'!S285</f>
        <v>548215.37323325314</v>
      </c>
      <c r="V34" s="313">
        <f>'[18]Populatie conectata_apa'!T285</f>
        <v>551378.13319720607</v>
      </c>
      <c r="W34" s="313">
        <f>'[18]Populatie conectata_apa'!U285</f>
        <v>554474.26174982009</v>
      </c>
      <c r="X34" s="313">
        <f>'[18]Populatie conectata_apa'!V285</f>
        <v>557462.84980039659</v>
      </c>
      <c r="Y34" s="313">
        <f>'[18]Populatie conectata_apa'!W285</f>
        <v>553640.30216695019</v>
      </c>
      <c r="Z34" s="313">
        <f>'[18]Populatie conectata_apa'!X285</f>
        <v>550013.05290583661</v>
      </c>
      <c r="AA34" s="313">
        <f>'[18]Populatie conectata_apa'!Y285</f>
        <v>546060.71601503284</v>
      </c>
      <c r="AB34" s="313">
        <f>'[18]Populatie conectata_apa'!Z285</f>
        <v>542136.66709880379</v>
      </c>
      <c r="AC34" s="313">
        <f>'[18]Populatie conectata_apa'!AA285</f>
        <v>538240.70461074496</v>
      </c>
      <c r="AD34" s="313">
        <f>'[18]Populatie conectata_apa'!AB285</f>
        <v>534372.62843294337</v>
      </c>
      <c r="AE34" s="313">
        <f>'[18]Populatie conectata_apa'!AC285</f>
        <v>530532.23986591375</v>
      </c>
      <c r="AF34" s="313">
        <f>'[18]Populatie conectata_apa'!AD285</f>
        <v>526719.34161860566</v>
      </c>
      <c r="AG34" s="313">
        <f>'[18]Populatie conectata_apa'!AE285</f>
        <v>522933.73779848078</v>
      </c>
      <c r="AH34" s="313">
        <f>'[18]Populatie conectata_apa'!AF285</f>
        <v>519175.23390165833</v>
      </c>
      <c r="AI34" s="313">
        <f>'[18]Populatie conectata_apa'!AG285</f>
        <v>514654.51744493237</v>
      </c>
      <c r="AJ34" s="313">
        <f>'[18]Populatie conectata_apa'!AH285</f>
        <v>510445.74327446567</v>
      </c>
      <c r="AK34" s="314">
        <f>'[18]Populatie conectata_apa'!AI285</f>
        <v>505803.77480322518</v>
      </c>
    </row>
    <row r="35" spans="2:40" ht="15.75" thickBot="1" x14ac:dyDescent="0.3">
      <c r="B35" s="315" t="s">
        <v>314</v>
      </c>
      <c r="C35" s="289" t="s">
        <v>300</v>
      </c>
      <c r="D35" s="289"/>
      <c r="E35" s="289"/>
      <c r="F35" s="289"/>
      <c r="G35" s="316">
        <f>G32/G34</f>
        <v>17.082909306237521</v>
      </c>
      <c r="H35" s="316">
        <f>H32/H34</f>
        <v>17.205529675790004</v>
      </c>
      <c r="I35" s="316">
        <f>I32/I34</f>
        <v>16.61947749433466</v>
      </c>
      <c r="J35" s="316">
        <f t="shared" ref="J35:AK35" si="85">J32/J34</f>
        <v>15.173633141739451</v>
      </c>
      <c r="K35" s="316">
        <f t="shared" si="85"/>
        <v>16.201752807960741</v>
      </c>
      <c r="L35" s="316">
        <f t="shared" si="85"/>
        <v>16.098579221646691</v>
      </c>
      <c r="M35" s="316">
        <f t="shared" si="85"/>
        <v>16.059952470629952</v>
      </c>
      <c r="N35" s="316">
        <f t="shared" si="85"/>
        <v>16.017930055784593</v>
      </c>
      <c r="O35" s="316">
        <f t="shared" si="85"/>
        <v>16.065494218192562</v>
      </c>
      <c r="P35" s="316">
        <f t="shared" si="85"/>
        <v>16.100251627494025</v>
      </c>
      <c r="Q35" s="316">
        <f t="shared" si="85"/>
        <v>16.109838005159993</v>
      </c>
      <c r="R35" s="316">
        <f t="shared" si="85"/>
        <v>16.114836491576565</v>
      </c>
      <c r="S35" s="316">
        <f t="shared" si="85"/>
        <v>16.101868520657238</v>
      </c>
      <c r="T35" s="316">
        <f t="shared" si="85"/>
        <v>16.162356865169453</v>
      </c>
      <c r="U35" s="316">
        <f t="shared" si="85"/>
        <v>16.216508756645759</v>
      </c>
      <c r="V35" s="316">
        <f t="shared" si="85"/>
        <v>16.264240019756635</v>
      </c>
      <c r="W35" s="316">
        <f t="shared" si="85"/>
        <v>16.311875814467225</v>
      </c>
      <c r="X35" s="316">
        <f t="shared" si="85"/>
        <v>16.336911205846064</v>
      </c>
      <c r="Y35" s="316">
        <f t="shared" si="85"/>
        <v>16.52555883794323</v>
      </c>
      <c r="Z35" s="316">
        <f t="shared" si="85"/>
        <v>16.685288395331639</v>
      </c>
      <c r="AA35" s="316">
        <f t="shared" si="85"/>
        <v>16.852648626768215</v>
      </c>
      <c r="AB35" s="316">
        <f t="shared" si="85"/>
        <v>17.020973670157709</v>
      </c>
      <c r="AC35" s="316">
        <f t="shared" si="85"/>
        <v>17.190570069367883</v>
      </c>
      <c r="AD35" s="316">
        <f t="shared" si="85"/>
        <v>17.360562905188321</v>
      </c>
      <c r="AE35" s="316">
        <f t="shared" si="85"/>
        <v>17.531849866739257</v>
      </c>
      <c r="AF35" s="316">
        <f t="shared" si="85"/>
        <v>17.704147185597808</v>
      </c>
      <c r="AG35" s="316">
        <f t="shared" si="85"/>
        <v>17.87746667297251</v>
      </c>
      <c r="AH35" s="316">
        <f t="shared" si="85"/>
        <v>18.051820315729039</v>
      </c>
      <c r="AI35" s="316">
        <f t="shared" si="85"/>
        <v>18.255168061546811</v>
      </c>
      <c r="AJ35" s="316">
        <f t="shared" si="85"/>
        <v>18.425550730120172</v>
      </c>
      <c r="AK35" s="317">
        <f t="shared" si="85"/>
        <v>18.670931524500144</v>
      </c>
    </row>
    <row r="36" spans="2:40" s="39" customFormat="1" x14ac:dyDescent="0.25">
      <c r="B36" s="71"/>
      <c r="C36" s="36"/>
      <c r="D36" s="36"/>
      <c r="E36" s="36"/>
      <c r="F36" s="36"/>
      <c r="G36" s="241">
        <v>70</v>
      </c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36"/>
      <c r="AK36" s="37"/>
    </row>
    <row r="37" spans="2:40" s="39" customFormat="1" x14ac:dyDescent="0.25">
      <c r="B37" s="232" t="s">
        <v>311</v>
      </c>
      <c r="C37" s="31" t="s">
        <v>273</v>
      </c>
      <c r="D37" s="31"/>
      <c r="E37" s="31"/>
      <c r="F37" s="31"/>
      <c r="G37" s="198">
        <f>'[18]Volum apa'!D108</f>
        <v>17348762.966002394</v>
      </c>
      <c r="H37" s="198">
        <f>'[18]Volum apa'!E108</f>
        <v>17813954.956108801</v>
      </c>
      <c r="I37" s="198">
        <f>'[18]Volum apa'!F108</f>
        <v>18487622.254043177</v>
      </c>
      <c r="J37" s="198">
        <f>'[18]Volum apa'!G108</f>
        <v>21352936.227455847</v>
      </c>
      <c r="K37" s="198">
        <f>'[18]Volum apa'!H108</f>
        <v>20290343.87094982</v>
      </c>
      <c r="L37" s="198">
        <f>'[18]Volum apa'!I108</f>
        <v>21078596.736664534</v>
      </c>
      <c r="M37" s="198">
        <f>'[18]Volum apa'!J108</f>
        <v>21308973.450639904</v>
      </c>
      <c r="N37" s="198">
        <f>'[18]Volum apa'!K108</f>
        <v>21556535.487252302</v>
      </c>
      <c r="O37" s="198">
        <f>'[18]Volum apa'!L108</f>
        <v>21718505.086901389</v>
      </c>
      <c r="P37" s="198">
        <f>'[18]Volum apa'!M108</f>
        <v>21769241.693638995</v>
      </c>
      <c r="Q37" s="198">
        <f>'[18]Volum apa'!N108</f>
        <v>21878051.378502812</v>
      </c>
      <c r="R37" s="198">
        <f>'[18]Volum apa'!O108</f>
        <v>21998631.462234229</v>
      </c>
      <c r="S37" s="198">
        <f>'[18]Volum apa'!P108</f>
        <v>22124215.501810752</v>
      </c>
      <c r="T37" s="198">
        <f>'[18]Volum apa'!Q108</f>
        <v>22242534.837655067</v>
      </c>
      <c r="U37" s="198">
        <f>'[18]Volum apa'!R108</f>
        <v>22363999.897429194</v>
      </c>
      <c r="V37" s="198">
        <f>'[18]Volum apa'!S108</f>
        <v>22498404.790682107</v>
      </c>
      <c r="W37" s="198">
        <f>'[18]Volum apa'!T108</f>
        <v>22632176.277455695</v>
      </c>
      <c r="X37" s="198">
        <f>'[18]Volum apa'!U108</f>
        <v>22784212.172691796</v>
      </c>
      <c r="Y37" s="198">
        <f>'[18]Volum apa'!V108</f>
        <v>22761376.138026427</v>
      </c>
      <c r="Z37" s="198">
        <f>'[18]Volum apa'!W108</f>
        <v>22706669.477385808</v>
      </c>
      <c r="AA37" s="198">
        <f>'[18]Volum apa'!X108</f>
        <v>22641831.646687672</v>
      </c>
      <c r="AB37" s="198">
        <f>'[18]Volum apa'!Y108</f>
        <v>22577522.054315172</v>
      </c>
      <c r="AC37" s="198">
        <f>'[18]Volum apa'!Z108</f>
        <v>22513739.120317549</v>
      </c>
      <c r="AD37" s="198">
        <f>'[18]Volum apa'!AA108</f>
        <v>22450481.292640865</v>
      </c>
      <c r="AE37" s="198">
        <f>'[18]Volum apa'!AB108</f>
        <v>22387747.04714052</v>
      </c>
      <c r="AF37" s="198">
        <f>'[18]Volum apa'!AC108</f>
        <v>22325534.887596175</v>
      </c>
      <c r="AG37" s="198">
        <f>'[18]Volum apa'!AD108</f>
        <v>22263843.345728211</v>
      </c>
      <c r="AH37" s="198">
        <f>'[18]Volum apa'!AE108</f>
        <v>22202670.981217161</v>
      </c>
      <c r="AI37" s="198">
        <f>'[18]Volum apa'!AF108</f>
        <v>22142016.381725118</v>
      </c>
      <c r="AJ37" s="198">
        <f>'[18]Volum apa'!AG108</f>
        <v>22057001.58805209</v>
      </c>
      <c r="AK37" s="199">
        <f>'[18]Volum apa'!AH108</f>
        <v>21963854.778471734</v>
      </c>
    </row>
    <row r="38" spans="2:40" s="39" customFormat="1" ht="27.75" customHeight="1" x14ac:dyDescent="0.25">
      <c r="B38" s="235" t="s">
        <v>312</v>
      </c>
      <c r="C38" s="31" t="s">
        <v>288</v>
      </c>
      <c r="D38" s="31"/>
      <c r="E38" s="31"/>
      <c r="F38" s="31"/>
      <c r="G38" s="192">
        <f>G32/G37</f>
        <v>0.38992879224370247</v>
      </c>
      <c r="H38" s="192">
        <f>H32/H37</f>
        <v>0.39473397526897758</v>
      </c>
      <c r="I38" s="191">
        <f>I32/I37</f>
        <v>0.38600716950088265</v>
      </c>
      <c r="J38" s="191">
        <f t="shared" ref="J38:AH38" si="86">J32/J37</f>
        <v>0.36750824098145529</v>
      </c>
      <c r="K38" s="191">
        <f t="shared" si="86"/>
        <v>0.38817432406944435</v>
      </c>
      <c r="L38" s="191">
        <f t="shared" si="86"/>
        <v>0.38978492109895346</v>
      </c>
      <c r="M38" s="191">
        <f t="shared" si="86"/>
        <v>0.39044542647216679</v>
      </c>
      <c r="N38" s="192">
        <f t="shared" si="86"/>
        <v>0.39099958324963568</v>
      </c>
      <c r="O38" s="192">
        <f t="shared" si="86"/>
        <v>0.39197536947037059</v>
      </c>
      <c r="P38" s="192">
        <f t="shared" si="86"/>
        <v>0.39308023370246309</v>
      </c>
      <c r="Q38" s="192">
        <f t="shared" si="86"/>
        <v>0.39395465386569645</v>
      </c>
      <c r="R38" s="192">
        <f t="shared" si="86"/>
        <v>0.39477538598137707</v>
      </c>
      <c r="S38" s="192">
        <f t="shared" si="86"/>
        <v>0.3950168536511332</v>
      </c>
      <c r="T38" s="192">
        <f t="shared" si="86"/>
        <v>0.39634365521851816</v>
      </c>
      <c r="U38" s="192">
        <f t="shared" si="86"/>
        <v>0.39752009664366073</v>
      </c>
      <c r="V38" s="192">
        <f t="shared" si="86"/>
        <v>0.39859476186857334</v>
      </c>
      <c r="W38" s="192">
        <f t="shared" si="86"/>
        <v>0.39963082600195454</v>
      </c>
      <c r="X38" s="192">
        <f t="shared" si="86"/>
        <v>0.39971630393534141</v>
      </c>
      <c r="Y38" s="192">
        <f t="shared" si="86"/>
        <v>0.4019623125172741</v>
      </c>
      <c r="Z38" s="192">
        <f t="shared" si="86"/>
        <v>0.40415995036482266</v>
      </c>
      <c r="AA38" s="192">
        <f t="shared" si="86"/>
        <v>0.40644103001397758</v>
      </c>
      <c r="AB38" s="192">
        <f t="shared" si="86"/>
        <v>0.4087115456743462</v>
      </c>
      <c r="AC38" s="192">
        <f t="shared" si="86"/>
        <v>0.41097858056136372</v>
      </c>
      <c r="AD38" s="192">
        <f t="shared" si="86"/>
        <v>0.4132209688422977</v>
      </c>
      <c r="AE38" s="192">
        <f t="shared" si="86"/>
        <v>0.41545991917851771</v>
      </c>
      <c r="AF38" s="192">
        <f t="shared" si="86"/>
        <v>0.41768839118376067</v>
      </c>
      <c r="AG38" s="192">
        <f t="shared" si="86"/>
        <v>0.41990640719537026</v>
      </c>
      <c r="AH38" s="192">
        <f t="shared" si="86"/>
        <v>0.42211398992030424</v>
      </c>
      <c r="AI38" s="192">
        <f>AI32/AI37</f>
        <v>0.42431116243531242</v>
      </c>
      <c r="AJ38" s="192">
        <f t="shared" ref="AJ38:AK38" si="87">AJ32/AJ37</f>
        <v>0.42640627739593706</v>
      </c>
      <c r="AK38" s="233">
        <f t="shared" si="87"/>
        <v>0.42997132058263493</v>
      </c>
    </row>
    <row r="39" spans="2:40" ht="30.75" thickBot="1" x14ac:dyDescent="0.3">
      <c r="B39" s="235" t="s">
        <v>312</v>
      </c>
      <c r="C39" s="93" t="s">
        <v>313</v>
      </c>
      <c r="D39" s="93"/>
      <c r="E39" s="93"/>
      <c r="F39" s="93"/>
      <c r="G39" s="193">
        <f>G38*Ipoteze!F64</f>
        <v>1.723095332924921</v>
      </c>
      <c r="H39" s="193">
        <f>H38*Ipoteze!G64</f>
        <v>1.7565661899469502</v>
      </c>
      <c r="I39" s="194">
        <f>I38*Ipoteze!H64</f>
        <v>1.6984315458038839</v>
      </c>
      <c r="J39" s="194">
        <f>J38*Ipoteze!I64</f>
        <v>1.6170362603184034</v>
      </c>
      <c r="K39" s="194">
        <f>K38*Ipoteze!J64</f>
        <v>1.6963217961834718</v>
      </c>
      <c r="L39" s="194">
        <f>L38*Ipoteze!K64</f>
        <v>1.7033601052024268</v>
      </c>
      <c r="M39" s="194">
        <f>M38*Ipoteze!L64</f>
        <v>1.7062465136833689</v>
      </c>
      <c r="N39" s="193">
        <f>N38*Ipoteze!M64</f>
        <v>1.7086681788009079</v>
      </c>
      <c r="O39" s="193">
        <f>O38*Ipoteze!N64</f>
        <v>1.7129323645855195</v>
      </c>
      <c r="P39" s="193">
        <f>P38*Ipoteze!O64</f>
        <v>1.7177606212797638</v>
      </c>
      <c r="Q39" s="193">
        <f>Q38*Ipoteze!P64</f>
        <v>1.7215818373930936</v>
      </c>
      <c r="R39" s="193">
        <f>R38*Ipoteze!Q64</f>
        <v>1.7251684367386177</v>
      </c>
      <c r="S39" s="193">
        <f>S38*Ipoteze!R64</f>
        <v>1.7262236504554522</v>
      </c>
      <c r="T39" s="193">
        <f>T38*Ipoteze!S64</f>
        <v>1.7320217733049244</v>
      </c>
      <c r="U39" s="193">
        <f>U38*Ipoteze!T64</f>
        <v>1.7371628223327975</v>
      </c>
      <c r="V39" s="193">
        <f>V38*Ipoteze!U64</f>
        <v>1.7418591093656655</v>
      </c>
      <c r="W39" s="193">
        <f>W38*Ipoteze!V64</f>
        <v>1.7463867096285415</v>
      </c>
      <c r="X39" s="193">
        <f>X38*Ipoteze!W64</f>
        <v>1.746760248197442</v>
      </c>
      <c r="Y39" s="193">
        <f>Y38*Ipoteze!X64</f>
        <v>1.7565753057004878</v>
      </c>
      <c r="Z39" s="193">
        <f>Z38*Ipoteze!Y64</f>
        <v>1.7661789830942751</v>
      </c>
      <c r="AA39" s="193">
        <f>AA38*Ipoteze!Z64</f>
        <v>1.776147301161082</v>
      </c>
      <c r="AB39" s="193">
        <f>AB38*Ipoteze!AA64</f>
        <v>1.7860694545968929</v>
      </c>
      <c r="AC39" s="193">
        <f>AC38*Ipoteze!AB64</f>
        <v>1.7959763970531595</v>
      </c>
      <c r="AD39" s="193">
        <f>AD38*Ipoteze!AC64</f>
        <v>1.8057756338408411</v>
      </c>
      <c r="AE39" s="193">
        <f>AE38*Ipoteze!AD64</f>
        <v>1.8155598468101224</v>
      </c>
      <c r="AF39" s="193">
        <f>AF38*Ipoteze!AE64</f>
        <v>1.8252982694730342</v>
      </c>
      <c r="AG39" s="193">
        <f>AG38*Ipoteze!AF64</f>
        <v>1.8349909994437681</v>
      </c>
      <c r="AH39" s="193">
        <f>AH38*Ipoteze!AG64</f>
        <v>1.8446381359517297</v>
      </c>
      <c r="AI39" s="193">
        <f>AI38*Ipoteze!AH64</f>
        <v>1.8542397798423154</v>
      </c>
      <c r="AJ39" s="193">
        <f>AJ38*Ipoteze!AI64</f>
        <v>1.8633954322202451</v>
      </c>
      <c r="AK39" s="234">
        <f>AK38*Ipoteze!AJ64</f>
        <v>1.8789746709461146</v>
      </c>
    </row>
    <row r="40" spans="2:40" s="39" customFormat="1" ht="15.75" thickBot="1" x14ac:dyDescent="0.3"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7"/>
      <c r="AJ40" s="217"/>
      <c r="AK40" s="217"/>
    </row>
    <row r="41" spans="2:40" x14ac:dyDescent="0.25">
      <c r="B41" s="503" t="s">
        <v>281</v>
      </c>
      <c r="C41" s="318"/>
      <c r="D41" s="318"/>
      <c r="E41" s="318"/>
      <c r="F41" s="318"/>
      <c r="G41" s="318"/>
      <c r="H41" s="319">
        <v>2014</v>
      </c>
      <c r="I41" s="319">
        <v>2015</v>
      </c>
      <c r="J41" s="319">
        <v>2016</v>
      </c>
      <c r="K41" s="319">
        <v>2017</v>
      </c>
      <c r="L41" s="319">
        <v>2018</v>
      </c>
      <c r="M41" s="319">
        <v>2019</v>
      </c>
      <c r="N41" s="319">
        <v>2020</v>
      </c>
      <c r="O41" s="319">
        <v>2021</v>
      </c>
      <c r="P41" s="319">
        <v>2022</v>
      </c>
      <c r="Q41" s="319">
        <v>2023</v>
      </c>
      <c r="R41" s="319">
        <v>2024</v>
      </c>
      <c r="S41" s="319">
        <v>2025</v>
      </c>
      <c r="T41" s="319">
        <v>2026</v>
      </c>
      <c r="U41" s="319">
        <v>2027</v>
      </c>
      <c r="V41" s="319">
        <v>2028</v>
      </c>
      <c r="W41" s="319">
        <v>2029</v>
      </c>
      <c r="X41" s="319">
        <v>2030</v>
      </c>
      <c r="Y41" s="319">
        <v>2031</v>
      </c>
      <c r="Z41" s="319">
        <v>2032</v>
      </c>
      <c r="AA41" s="319">
        <v>2033</v>
      </c>
      <c r="AB41" s="319">
        <v>2034</v>
      </c>
      <c r="AC41" s="319">
        <v>2035</v>
      </c>
      <c r="AD41" s="319">
        <v>2036</v>
      </c>
      <c r="AE41" s="319">
        <v>2037</v>
      </c>
      <c r="AF41" s="319">
        <v>2038</v>
      </c>
      <c r="AG41" s="319">
        <v>2039</v>
      </c>
      <c r="AH41" s="319">
        <v>2040</v>
      </c>
      <c r="AI41" s="319">
        <v>2041</v>
      </c>
      <c r="AJ41" s="319">
        <v>2042</v>
      </c>
      <c r="AK41" s="326">
        <v>2043</v>
      </c>
    </row>
    <row r="42" spans="2:40" x14ac:dyDescent="0.25">
      <c r="B42" s="304" t="s">
        <v>282</v>
      </c>
      <c r="C42" s="272" t="s">
        <v>286</v>
      </c>
      <c r="D42" s="272"/>
      <c r="E42" s="272"/>
      <c r="F42" s="272"/>
      <c r="G42" s="320">
        <f>30%*G57</f>
        <v>1109690.7460033165</v>
      </c>
      <c r="H42" s="320">
        <f t="shared" ref="H42:AI42" si="88">30%*H57</f>
        <v>1414010.5355829655</v>
      </c>
      <c r="I42" s="320">
        <f t="shared" si="88"/>
        <v>1534431.9243067089</v>
      </c>
      <c r="J42" s="320">
        <f t="shared" si="88"/>
        <v>1702097.5881999067</v>
      </c>
      <c r="K42" s="320">
        <f t="shared" si="88"/>
        <v>1835068.3295668</v>
      </c>
      <c r="L42" s="320">
        <f t="shared" si="88"/>
        <v>1982173.1074759522</v>
      </c>
      <c r="M42" s="320">
        <f t="shared" si="88"/>
        <v>2075821.3042493449</v>
      </c>
      <c r="N42" s="320">
        <f t="shared" si="88"/>
        <v>2171917.4956083153</v>
      </c>
      <c r="O42" s="320">
        <f t="shared" si="88"/>
        <v>2244664.5985067426</v>
      </c>
      <c r="P42" s="320">
        <f t="shared" si="88"/>
        <v>2329846.2244463386</v>
      </c>
      <c r="Q42" s="320">
        <f t="shared" si="88"/>
        <v>2420463.1576040811</v>
      </c>
      <c r="R42" s="320">
        <f t="shared" si="88"/>
        <v>2501727.0425229482</v>
      </c>
      <c r="S42" s="320">
        <f t="shared" si="88"/>
        <v>2578057.599660513</v>
      </c>
      <c r="T42" s="320">
        <f t="shared" si="88"/>
        <v>2618219.9476691885</v>
      </c>
      <c r="U42" s="320">
        <f t="shared" si="88"/>
        <v>2648397.4328732104</v>
      </c>
      <c r="V42" s="320">
        <f t="shared" si="88"/>
        <v>2681189.8291957397</v>
      </c>
      <c r="W42" s="320">
        <f t="shared" si="88"/>
        <v>2705374.3848657319</v>
      </c>
      <c r="X42" s="320">
        <f t="shared" si="88"/>
        <v>2728780.654296258</v>
      </c>
      <c r="Y42" s="320">
        <f t="shared" si="88"/>
        <v>2739780.2668863544</v>
      </c>
      <c r="Z42" s="320">
        <f t="shared" si="88"/>
        <v>2752478.576182053</v>
      </c>
      <c r="AA42" s="320">
        <f t="shared" si="88"/>
        <v>2808522.1722954968</v>
      </c>
      <c r="AB42" s="320">
        <f t="shared" si="88"/>
        <v>2833116.0112645398</v>
      </c>
      <c r="AC42" s="320">
        <f t="shared" si="88"/>
        <v>2852158.2024015905</v>
      </c>
      <c r="AD42" s="320">
        <f t="shared" si="88"/>
        <v>2906238.5190131483</v>
      </c>
      <c r="AE42" s="320">
        <f t="shared" si="88"/>
        <v>2971505.3486199453</v>
      </c>
      <c r="AF42" s="320">
        <f t="shared" si="88"/>
        <v>3291107.626191413</v>
      </c>
      <c r="AG42" s="320">
        <f t="shared" si="88"/>
        <v>3038821.5275390223</v>
      </c>
      <c r="AH42" s="320">
        <f t="shared" si="88"/>
        <v>3081396.612909406</v>
      </c>
      <c r="AI42" s="320">
        <f t="shared" si="88"/>
        <v>3125231.6499931556</v>
      </c>
      <c r="AJ42" s="320">
        <f>30%*AJ57</f>
        <v>3188244.427433297</v>
      </c>
      <c r="AK42" s="327">
        <f t="shared" ref="AK42" si="89">30%*AK57</f>
        <v>3227710.8586966898</v>
      </c>
      <c r="AL42" s="40">
        <f>0.204*$G$58^0.9008+0.32*$G$58^0.6961</f>
        <v>233742.98475214405</v>
      </c>
      <c r="AN42" s="40">
        <f>0.007*[19]Sheet1!$T$686*1000</f>
        <v>819038.62943428464</v>
      </c>
    </row>
    <row r="43" spans="2:40" x14ac:dyDescent="0.25">
      <c r="B43" s="286" t="s">
        <v>283</v>
      </c>
      <c r="C43" s="272" t="s">
        <v>286</v>
      </c>
      <c r="D43" s="272"/>
      <c r="E43" s="272"/>
      <c r="F43" s="272"/>
      <c r="G43" s="321">
        <f>52%*G42</f>
        <v>577039.18792172463</v>
      </c>
      <c r="H43" s="321">
        <f>52%*H42</f>
        <v>735285.47850314202</v>
      </c>
      <c r="I43" s="321">
        <f>52%*I42</f>
        <v>797904.60063948866</v>
      </c>
      <c r="J43" s="321">
        <f t="shared" ref="J43:M43" si="90">52%*J42</f>
        <v>885090.74586395151</v>
      </c>
      <c r="K43" s="321">
        <f t="shared" si="90"/>
        <v>954235.53137473611</v>
      </c>
      <c r="L43" s="321">
        <f t="shared" si="90"/>
        <v>1030730.0158874952</v>
      </c>
      <c r="M43" s="321">
        <f t="shared" si="90"/>
        <v>1079427.0782096593</v>
      </c>
      <c r="N43" s="321">
        <f>50%*$N$42</f>
        <v>1085958.7478041577</v>
      </c>
      <c r="O43" s="321">
        <f t="shared" ref="O43:R43" si="91">50%*$N$42</f>
        <v>1085958.7478041577</v>
      </c>
      <c r="P43" s="321">
        <f t="shared" si="91"/>
        <v>1085958.7478041577</v>
      </c>
      <c r="Q43" s="321">
        <f t="shared" si="91"/>
        <v>1085958.7478041577</v>
      </c>
      <c r="R43" s="321">
        <f t="shared" si="91"/>
        <v>1085958.7478041577</v>
      </c>
      <c r="S43" s="321">
        <f>43%*S42</f>
        <v>1108564.7678540205</v>
      </c>
      <c r="T43" s="321">
        <f t="shared" ref="T43:W43" si="92">43%*T42</f>
        <v>1125834.577497751</v>
      </c>
      <c r="U43" s="321">
        <f t="shared" si="92"/>
        <v>1138810.8961354804</v>
      </c>
      <c r="V43" s="321">
        <f t="shared" si="92"/>
        <v>1152911.6265541681</v>
      </c>
      <c r="W43" s="321">
        <f t="shared" si="92"/>
        <v>1163310.9854922646</v>
      </c>
      <c r="X43" s="321">
        <f>31%*X42</f>
        <v>845922.00283183996</v>
      </c>
      <c r="Y43" s="321">
        <f t="shared" ref="Y43:AB43" si="93">31%*Y42</f>
        <v>849331.88273476984</v>
      </c>
      <c r="Z43" s="321">
        <f t="shared" si="93"/>
        <v>853268.35861643637</v>
      </c>
      <c r="AA43" s="321">
        <f t="shared" si="93"/>
        <v>870641.87341160397</v>
      </c>
      <c r="AB43" s="321">
        <f t="shared" si="93"/>
        <v>878265.96349200734</v>
      </c>
      <c r="AC43" s="321">
        <f>33%*AC42</f>
        <v>941212.2067925249</v>
      </c>
      <c r="AD43" s="321">
        <f t="shared" ref="AD43:AH43" si="94">33%*AD42</f>
        <v>959058.711274339</v>
      </c>
      <c r="AE43" s="321">
        <f t="shared" si="94"/>
        <v>980596.76504458196</v>
      </c>
      <c r="AF43" s="321">
        <f t="shared" si="94"/>
        <v>1086065.5166431663</v>
      </c>
      <c r="AG43" s="321">
        <f t="shared" si="94"/>
        <v>1002811.1040878774</v>
      </c>
      <c r="AH43" s="321">
        <f t="shared" si="94"/>
        <v>1016860.8822601041</v>
      </c>
      <c r="AI43" s="321">
        <f>33%*AI42</f>
        <v>1031326.4444977414</v>
      </c>
      <c r="AJ43" s="321">
        <f t="shared" ref="AJ43:AK43" si="95">33%*AJ42</f>
        <v>1052120.6610529881</v>
      </c>
      <c r="AK43" s="328">
        <f t="shared" si="95"/>
        <v>1065144.5833699077</v>
      </c>
    </row>
    <row r="44" spans="2:40" x14ac:dyDescent="0.25">
      <c r="B44" s="286" t="s">
        <v>284</v>
      </c>
      <c r="C44" s="272" t="s">
        <v>286</v>
      </c>
      <c r="D44" s="272"/>
      <c r="E44" s="272"/>
      <c r="F44" s="272"/>
      <c r="G44" s="321">
        <f>13%*G42</f>
        <v>144259.79698043116</v>
      </c>
      <c r="H44" s="321">
        <f>13%*H42</f>
        <v>183821.3696257855</v>
      </c>
      <c r="I44" s="321">
        <f>13%*I42</f>
        <v>199476.15015987217</v>
      </c>
      <c r="J44" s="321">
        <f t="shared" ref="J44:M44" si="96">13%*J42</f>
        <v>221272.68646598788</v>
      </c>
      <c r="K44" s="321">
        <f t="shared" si="96"/>
        <v>238558.88284368403</v>
      </c>
      <c r="L44" s="321">
        <f t="shared" si="96"/>
        <v>257682.50397187381</v>
      </c>
      <c r="M44" s="321">
        <f t="shared" si="96"/>
        <v>269856.76955241483</v>
      </c>
      <c r="N44" s="321">
        <f>14%*$N$42</f>
        <v>304068.44938516419</v>
      </c>
      <c r="O44" s="321">
        <f t="shared" ref="O44:R44" si="97">14%*$N$42</f>
        <v>304068.44938516419</v>
      </c>
      <c r="P44" s="321">
        <f t="shared" si="97"/>
        <v>304068.44938516419</v>
      </c>
      <c r="Q44" s="321">
        <f t="shared" si="97"/>
        <v>304068.44938516419</v>
      </c>
      <c r="R44" s="321">
        <f t="shared" si="97"/>
        <v>304068.44938516419</v>
      </c>
      <c r="S44" s="321">
        <f>13%*S42</f>
        <v>335147.48795586667</v>
      </c>
      <c r="T44" s="321">
        <f t="shared" ref="T44:W44" si="98">13%*T42</f>
        <v>340368.59319699451</v>
      </c>
      <c r="U44" s="321">
        <f t="shared" si="98"/>
        <v>344291.66627351736</v>
      </c>
      <c r="V44" s="321">
        <f t="shared" si="98"/>
        <v>348554.67779544619</v>
      </c>
      <c r="W44" s="321">
        <f t="shared" si="98"/>
        <v>351698.67003254517</v>
      </c>
      <c r="X44" s="321">
        <f>11%*X42</f>
        <v>300165.87197258836</v>
      </c>
      <c r="Y44" s="321">
        <f t="shared" ref="Y44:AB44" si="99">11%*Y42</f>
        <v>301375.82935749897</v>
      </c>
      <c r="Z44" s="321">
        <f t="shared" si="99"/>
        <v>302772.64338002581</v>
      </c>
      <c r="AA44" s="321">
        <f t="shared" si="99"/>
        <v>308937.43895250466</v>
      </c>
      <c r="AB44" s="321">
        <f t="shared" si="99"/>
        <v>311642.76123909937</v>
      </c>
      <c r="AC44" s="321">
        <f>15%*AC42</f>
        <v>427823.73036023858</v>
      </c>
      <c r="AD44" s="321">
        <f t="shared" ref="AD44:AH44" si="100">15%*AD42</f>
        <v>435935.77785197221</v>
      </c>
      <c r="AE44" s="321">
        <f t="shared" si="100"/>
        <v>445725.80229299178</v>
      </c>
      <c r="AF44" s="321">
        <f t="shared" si="100"/>
        <v>493666.14392871194</v>
      </c>
      <c r="AG44" s="321">
        <f t="shared" si="100"/>
        <v>455823.22913085332</v>
      </c>
      <c r="AH44" s="321">
        <f t="shared" si="100"/>
        <v>462209.49193641089</v>
      </c>
      <c r="AI44" s="321">
        <f>15%*AI42</f>
        <v>468784.74749897333</v>
      </c>
      <c r="AJ44" s="321">
        <f t="shared" ref="AJ44:AK44" si="101">15%*AJ42</f>
        <v>478236.66411499452</v>
      </c>
      <c r="AK44" s="328">
        <f t="shared" si="101"/>
        <v>484156.62880450347</v>
      </c>
    </row>
    <row r="45" spans="2:40" x14ac:dyDescent="0.25">
      <c r="B45" s="286" t="s">
        <v>285</v>
      </c>
      <c r="C45" s="272" t="s">
        <v>286</v>
      </c>
      <c r="D45" s="272"/>
      <c r="E45" s="272"/>
      <c r="F45" s="272"/>
      <c r="G45" s="321">
        <f>35%*G42</f>
        <v>388391.76110116072</v>
      </c>
      <c r="H45" s="321">
        <f>35%*H42</f>
        <v>494903.68745403789</v>
      </c>
      <c r="I45" s="321">
        <f>35%*I42</f>
        <v>537051.17350734805</v>
      </c>
      <c r="J45" s="321">
        <f t="shared" ref="J45:M45" si="102">35%*J42</f>
        <v>595734.1558699673</v>
      </c>
      <c r="K45" s="321">
        <f t="shared" si="102"/>
        <v>642273.91534837999</v>
      </c>
      <c r="L45" s="321">
        <f t="shared" si="102"/>
        <v>693760.58761658322</v>
      </c>
      <c r="M45" s="321">
        <f t="shared" si="102"/>
        <v>726537.45648727065</v>
      </c>
      <c r="N45" s="321">
        <f>36%*$N$42</f>
        <v>781890.29841899348</v>
      </c>
      <c r="O45" s="321">
        <f t="shared" ref="O45:R45" si="103">36%*$N$42</f>
        <v>781890.29841899348</v>
      </c>
      <c r="P45" s="321">
        <f t="shared" si="103"/>
        <v>781890.29841899348</v>
      </c>
      <c r="Q45" s="321">
        <f t="shared" si="103"/>
        <v>781890.29841899348</v>
      </c>
      <c r="R45" s="321">
        <f t="shared" si="103"/>
        <v>781890.29841899348</v>
      </c>
      <c r="S45" s="321">
        <f>44%*S42</f>
        <v>1134345.3438506257</v>
      </c>
      <c r="T45" s="321">
        <f t="shared" ref="T45:W45" si="104">44%*T42</f>
        <v>1152016.7769744429</v>
      </c>
      <c r="U45" s="321">
        <f t="shared" si="104"/>
        <v>1165294.8704642125</v>
      </c>
      <c r="V45" s="321">
        <f t="shared" si="104"/>
        <v>1179723.5248461254</v>
      </c>
      <c r="W45" s="321">
        <f t="shared" si="104"/>
        <v>1190364.7293409221</v>
      </c>
      <c r="X45" s="321">
        <f>58%*X42</f>
        <v>1582692.7794918295</v>
      </c>
      <c r="Y45" s="321">
        <f t="shared" ref="Y45:AB45" si="105">58%*Y42</f>
        <v>1589072.5547940854</v>
      </c>
      <c r="Z45" s="321">
        <f t="shared" si="105"/>
        <v>1596437.5741855905</v>
      </c>
      <c r="AA45" s="321">
        <f t="shared" si="105"/>
        <v>1628942.8599313879</v>
      </c>
      <c r="AB45" s="321">
        <f t="shared" si="105"/>
        <v>1643207.286533433</v>
      </c>
      <c r="AC45" s="321">
        <f>52%*AC42</f>
        <v>1483122.2652488272</v>
      </c>
      <c r="AD45" s="321">
        <f t="shared" ref="AD45:AH45" si="106">52%*AD42</f>
        <v>1511244.0298868371</v>
      </c>
      <c r="AE45" s="321">
        <f t="shared" si="106"/>
        <v>1545182.7812823716</v>
      </c>
      <c r="AF45" s="321">
        <f t="shared" si="106"/>
        <v>1711375.9656195347</v>
      </c>
      <c r="AG45" s="321">
        <f t="shared" si="106"/>
        <v>1580187.1943202917</v>
      </c>
      <c r="AH45" s="321">
        <f t="shared" si="106"/>
        <v>1602326.2387128912</v>
      </c>
      <c r="AI45" s="321">
        <f>52%*AI42</f>
        <v>1625120.4579964411</v>
      </c>
      <c r="AJ45" s="321">
        <f t="shared" ref="AJ45:AK45" si="107">52%*AJ42</f>
        <v>1657887.1022653144</v>
      </c>
      <c r="AK45" s="328">
        <f t="shared" si="107"/>
        <v>1678409.6465222787</v>
      </c>
    </row>
    <row r="46" spans="2:40" hidden="1" x14ac:dyDescent="0.25">
      <c r="B46" s="286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2"/>
      <c r="P46" s="272"/>
      <c r="Q46" s="272"/>
      <c r="R46" s="272"/>
      <c r="S46" s="272"/>
      <c r="T46" s="272"/>
      <c r="U46" s="272"/>
      <c r="V46" s="272"/>
      <c r="W46" s="272"/>
      <c r="X46" s="272"/>
      <c r="Y46" s="272"/>
      <c r="Z46" s="272"/>
      <c r="AA46" s="272"/>
      <c r="AB46" s="272"/>
      <c r="AC46" s="272"/>
      <c r="AD46" s="272"/>
      <c r="AE46" s="272"/>
      <c r="AF46" s="272"/>
      <c r="AG46" s="272"/>
      <c r="AH46" s="272"/>
      <c r="AI46" s="272"/>
      <c r="AJ46" s="272"/>
      <c r="AK46" s="285"/>
    </row>
    <row r="47" spans="2:40" x14ac:dyDescent="0.25">
      <c r="B47" s="304" t="s">
        <v>287</v>
      </c>
      <c r="C47" s="272" t="s">
        <v>288</v>
      </c>
      <c r="D47" s="272"/>
      <c r="E47" s="272"/>
      <c r="F47" s="272"/>
      <c r="G47" s="305">
        <f t="shared" ref="G47:AK47" si="108">G51/G58</f>
        <v>0.52240520390800849</v>
      </c>
      <c r="H47" s="305">
        <f t="shared" si="108"/>
        <v>0.713827984681354</v>
      </c>
      <c r="I47" s="305">
        <f t="shared" si="108"/>
        <v>0.76392459304422333</v>
      </c>
      <c r="J47" s="305">
        <f t="shared" si="108"/>
        <v>0.88676271923581629</v>
      </c>
      <c r="K47" s="305">
        <f t="shared" si="108"/>
        <v>0.91708996570786683</v>
      </c>
      <c r="L47" s="305">
        <f t="shared" si="108"/>
        <v>1.0366072461430231</v>
      </c>
      <c r="M47" s="305">
        <f t="shared" si="108"/>
        <v>1.0483236464517014</v>
      </c>
      <c r="N47" s="305">
        <f t="shared" si="108"/>
        <v>1.0595036543796341</v>
      </c>
      <c r="O47" s="305">
        <f t="shared" si="108"/>
        <v>1.0593422220560929</v>
      </c>
      <c r="P47" s="305">
        <f t="shared" si="108"/>
        <v>1.0654478233476747</v>
      </c>
      <c r="Q47" s="305">
        <f t="shared" si="108"/>
        <v>0.65826102702005773</v>
      </c>
      <c r="R47" s="305">
        <f t="shared" si="108"/>
        <v>0.68018193808577576</v>
      </c>
      <c r="S47" s="305">
        <f t="shared" si="108"/>
        <v>0.7007784234140364</v>
      </c>
      <c r="T47" s="305">
        <f t="shared" si="108"/>
        <v>0.71156462927517816</v>
      </c>
      <c r="U47" s="305">
        <f t="shared" si="108"/>
        <v>0.71966179965205801</v>
      </c>
      <c r="V47" s="305">
        <f t="shared" si="108"/>
        <v>0.72849510703449638</v>
      </c>
      <c r="W47" s="305">
        <f t="shared" si="108"/>
        <v>0.73501587742542573</v>
      </c>
      <c r="X47" s="305">
        <f t="shared" si="108"/>
        <v>0.74069786762153755</v>
      </c>
      <c r="Y47" s="305">
        <f t="shared" si="108"/>
        <v>0.74539749886305706</v>
      </c>
      <c r="Z47" s="305">
        <f t="shared" si="108"/>
        <v>0.75058174205659955</v>
      </c>
      <c r="AA47" s="305">
        <f t="shared" si="108"/>
        <v>0.76763692206008483</v>
      </c>
      <c r="AB47" s="305">
        <f t="shared" si="108"/>
        <v>0.77615486768364528</v>
      </c>
      <c r="AC47" s="305">
        <f t="shared" si="108"/>
        <v>0.78318745893316166</v>
      </c>
      <c r="AD47" s="305">
        <f t="shared" si="108"/>
        <v>0.79989593913675494</v>
      </c>
      <c r="AE47" s="305">
        <f t="shared" si="108"/>
        <v>0.8197678746694621</v>
      </c>
      <c r="AF47" s="305">
        <f t="shared" si="108"/>
        <v>0.91006120682469538</v>
      </c>
      <c r="AG47" s="305">
        <f t="shared" si="108"/>
        <v>0.84226708117398841</v>
      </c>
      <c r="AH47" s="305">
        <f t="shared" si="108"/>
        <v>0.85437891206677252</v>
      </c>
      <c r="AI47" s="305">
        <f t="shared" si="108"/>
        <v>0.86685401591040445</v>
      </c>
      <c r="AJ47" s="305">
        <f t="shared" si="108"/>
        <v>0.88466475129265676</v>
      </c>
      <c r="AK47" s="306">
        <f t="shared" si="108"/>
        <v>0.8956157813635055</v>
      </c>
    </row>
    <row r="48" spans="2:40" x14ac:dyDescent="0.25">
      <c r="B48" s="286" t="s">
        <v>289</v>
      </c>
      <c r="C48" s="272" t="s">
        <v>288</v>
      </c>
      <c r="D48" s="272"/>
      <c r="E48" s="272"/>
      <c r="F48" s="272"/>
      <c r="G48" s="305">
        <f t="shared" ref="G48:AK48" si="109">G52/G58</f>
        <v>0.2716507060321644</v>
      </c>
      <c r="H48" s="305">
        <f t="shared" si="109"/>
        <v>0.37119055203430407</v>
      </c>
      <c r="I48" s="305">
        <f t="shared" si="109"/>
        <v>0.39724078838299615</v>
      </c>
      <c r="J48" s="305">
        <f t="shared" si="109"/>
        <v>0.46111661400262444</v>
      </c>
      <c r="K48" s="305">
        <f t="shared" si="109"/>
        <v>0.47688678216809072</v>
      </c>
      <c r="L48" s="305">
        <f t="shared" si="109"/>
        <v>0.53903576799437214</v>
      </c>
      <c r="M48" s="305">
        <f t="shared" si="109"/>
        <v>0.54512829615488489</v>
      </c>
      <c r="N48" s="305">
        <f t="shared" si="109"/>
        <v>0.5615369368212062</v>
      </c>
      <c r="O48" s="305">
        <f t="shared" si="109"/>
        <v>0.56145137768972919</v>
      </c>
      <c r="P48" s="305">
        <f t="shared" si="109"/>
        <v>0.56468734637426765</v>
      </c>
      <c r="Q48" s="305">
        <f t="shared" si="109"/>
        <v>0.34887834432063058</v>
      </c>
      <c r="R48" s="305">
        <f t="shared" si="109"/>
        <v>0.36049642718546121</v>
      </c>
      <c r="S48" s="305">
        <f t="shared" si="109"/>
        <v>0.37842034864357965</v>
      </c>
      <c r="T48" s="305">
        <f t="shared" si="109"/>
        <v>0.38424489980859622</v>
      </c>
      <c r="U48" s="305">
        <f t="shared" si="109"/>
        <v>0.38861737181211137</v>
      </c>
      <c r="V48" s="305">
        <f t="shared" si="109"/>
        <v>0.39338735779862805</v>
      </c>
      <c r="W48" s="305">
        <f t="shared" si="109"/>
        <v>0.39690857380972994</v>
      </c>
      <c r="X48" s="305">
        <f t="shared" si="109"/>
        <v>0.40738382719184568</v>
      </c>
      <c r="Y48" s="305">
        <f t="shared" si="109"/>
        <v>0.40996862437468146</v>
      </c>
      <c r="Z48" s="305">
        <f t="shared" si="109"/>
        <v>0.41281995813112982</v>
      </c>
      <c r="AA48" s="305">
        <f t="shared" si="109"/>
        <v>0.42220030713304668</v>
      </c>
      <c r="AB48" s="305">
        <f t="shared" si="109"/>
        <v>0.42688517722600489</v>
      </c>
      <c r="AC48" s="305">
        <f t="shared" si="109"/>
        <v>0.43075310241323894</v>
      </c>
      <c r="AD48" s="305">
        <f t="shared" si="109"/>
        <v>0.43994276652521525</v>
      </c>
      <c r="AE48" s="305">
        <f t="shared" si="109"/>
        <v>0.45087233106820418</v>
      </c>
      <c r="AF48" s="305">
        <f t="shared" si="109"/>
        <v>0.50053366375358255</v>
      </c>
      <c r="AG48" s="305">
        <f t="shared" si="109"/>
        <v>0.46324689464569369</v>
      </c>
      <c r="AH48" s="305">
        <f t="shared" si="109"/>
        <v>0.46990840163672487</v>
      </c>
      <c r="AI48" s="305">
        <f t="shared" si="109"/>
        <v>0.4767697087507225</v>
      </c>
      <c r="AJ48" s="305">
        <f t="shared" si="109"/>
        <v>0.4865656132109612</v>
      </c>
      <c r="AK48" s="306">
        <f t="shared" si="109"/>
        <v>0.49258867974992809</v>
      </c>
    </row>
    <row r="49" spans="2:37" x14ac:dyDescent="0.25">
      <c r="B49" s="286" t="s">
        <v>290</v>
      </c>
      <c r="C49" s="272" t="s">
        <v>288</v>
      </c>
      <c r="D49" s="272"/>
      <c r="E49" s="272"/>
      <c r="F49" s="272"/>
      <c r="G49" s="305">
        <f t="shared" ref="G49:AK49" si="110">G53/G58</f>
        <v>6.79126765080411E-2</v>
      </c>
      <c r="H49" s="305">
        <f t="shared" si="110"/>
        <v>9.2797638008576017E-2</v>
      </c>
      <c r="I49" s="305">
        <f t="shared" si="110"/>
        <v>9.9310197095749037E-2</v>
      </c>
      <c r="J49" s="305">
        <f t="shared" si="110"/>
        <v>0.11527915350065611</v>
      </c>
      <c r="K49" s="305">
        <f t="shared" si="110"/>
        <v>0.11922169554202268</v>
      </c>
      <c r="L49" s="305">
        <f t="shared" si="110"/>
        <v>0.13475894199859303</v>
      </c>
      <c r="M49" s="305">
        <f t="shared" si="110"/>
        <v>0.13628207403872122</v>
      </c>
      <c r="N49" s="305">
        <f t="shared" si="110"/>
        <v>0.13773547506935246</v>
      </c>
      <c r="O49" s="305">
        <f t="shared" si="110"/>
        <v>0.1377144888672921</v>
      </c>
      <c r="P49" s="305">
        <f t="shared" si="110"/>
        <v>0.13850821703519772</v>
      </c>
      <c r="Q49" s="305">
        <f t="shared" si="110"/>
        <v>8.5573933512607503E-2</v>
      </c>
      <c r="R49" s="305">
        <f t="shared" si="110"/>
        <v>8.8423651951150845E-2</v>
      </c>
      <c r="S49" s="305">
        <f t="shared" si="110"/>
        <v>0.1191323319803862</v>
      </c>
      <c r="T49" s="305">
        <f t="shared" si="110"/>
        <v>0.12096598697678031</v>
      </c>
      <c r="U49" s="305">
        <f t="shared" si="110"/>
        <v>0.12234250594084987</v>
      </c>
      <c r="V49" s="305">
        <f t="shared" si="110"/>
        <v>0.1238441681958644</v>
      </c>
      <c r="W49" s="305">
        <f t="shared" si="110"/>
        <v>0.12495269916232239</v>
      </c>
      <c r="X49" s="305">
        <f t="shared" si="110"/>
        <v>0.14073259484809214</v>
      </c>
      <c r="Y49" s="305">
        <f t="shared" si="110"/>
        <v>0.14162552478398086</v>
      </c>
      <c r="Z49" s="305">
        <f t="shared" si="110"/>
        <v>0.14261053099075391</v>
      </c>
      <c r="AA49" s="305">
        <f t="shared" si="110"/>
        <v>0.14585101519141611</v>
      </c>
      <c r="AB49" s="305">
        <f t="shared" si="110"/>
        <v>0.14746942485989259</v>
      </c>
      <c r="AC49" s="305">
        <f t="shared" si="110"/>
        <v>0.16446936637596396</v>
      </c>
      <c r="AD49" s="305">
        <f t="shared" si="110"/>
        <v>0.16797814721871854</v>
      </c>
      <c r="AE49" s="305">
        <f t="shared" si="110"/>
        <v>0.17215125368058704</v>
      </c>
      <c r="AF49" s="305">
        <f t="shared" si="110"/>
        <v>0.19111285343318601</v>
      </c>
      <c r="AG49" s="305">
        <f t="shared" si="110"/>
        <v>0.17687608704653757</v>
      </c>
      <c r="AH49" s="305">
        <f t="shared" si="110"/>
        <v>0.17941957153402222</v>
      </c>
      <c r="AI49" s="305">
        <f t="shared" si="110"/>
        <v>0.20804496381849705</v>
      </c>
      <c r="AJ49" s="305">
        <f t="shared" si="110"/>
        <v>0.21231954031023759</v>
      </c>
      <c r="AK49" s="306">
        <f t="shared" si="110"/>
        <v>0.21494778752724131</v>
      </c>
    </row>
    <row r="50" spans="2:37" x14ac:dyDescent="0.25">
      <c r="B50" s="286" t="s">
        <v>291</v>
      </c>
      <c r="C50" s="272" t="s">
        <v>288</v>
      </c>
      <c r="D50" s="272"/>
      <c r="E50" s="272"/>
      <c r="F50" s="272"/>
      <c r="G50" s="305">
        <f t="shared" ref="G50:AK50" si="111">G56/G58</f>
        <v>0.18284182136780294</v>
      </c>
      <c r="H50" s="305">
        <f t="shared" si="111"/>
        <v>0.24983979463847386</v>
      </c>
      <c r="I50" s="305">
        <f t="shared" si="111"/>
        <v>0.26737360756547818</v>
      </c>
      <c r="J50" s="305">
        <f t="shared" si="111"/>
        <v>0.31036695173253565</v>
      </c>
      <c r="K50" s="305">
        <f t="shared" si="111"/>
        <v>0.32098148799775339</v>
      </c>
      <c r="L50" s="305">
        <f t="shared" si="111"/>
        <v>0.3628125361500581</v>
      </c>
      <c r="M50" s="305">
        <f t="shared" si="111"/>
        <v>0.3669132762580955</v>
      </c>
      <c r="N50" s="305">
        <f t="shared" si="111"/>
        <v>0.36023124248907568</v>
      </c>
      <c r="O50" s="305">
        <f t="shared" si="111"/>
        <v>0.36017635549907162</v>
      </c>
      <c r="P50" s="305">
        <f t="shared" si="111"/>
        <v>0.36225225993820948</v>
      </c>
      <c r="Q50" s="305">
        <f t="shared" si="111"/>
        <v>0.22380874918681962</v>
      </c>
      <c r="R50" s="305">
        <f t="shared" si="111"/>
        <v>0.23126185894916376</v>
      </c>
      <c r="S50" s="305">
        <f t="shared" si="111"/>
        <v>0.20322574279007052</v>
      </c>
      <c r="T50" s="305">
        <f t="shared" si="111"/>
        <v>0.20635374248980165</v>
      </c>
      <c r="U50" s="305">
        <f t="shared" si="111"/>
        <v>0.20870192189909681</v>
      </c>
      <c r="V50" s="305">
        <f t="shared" si="111"/>
        <v>0.21126358104000395</v>
      </c>
      <c r="W50" s="305">
        <f t="shared" si="111"/>
        <v>0.21315460445337345</v>
      </c>
      <c r="X50" s="305">
        <f t="shared" si="111"/>
        <v>0.19258144558159976</v>
      </c>
      <c r="Y50" s="305">
        <f t="shared" si="111"/>
        <v>0.19380334970439486</v>
      </c>
      <c r="Z50" s="305">
        <f t="shared" si="111"/>
        <v>0.19515125293471589</v>
      </c>
      <c r="AA50" s="305">
        <f t="shared" si="111"/>
        <v>0.19958559973562204</v>
      </c>
      <c r="AB50" s="305">
        <f t="shared" si="111"/>
        <v>0.20180026559774777</v>
      </c>
      <c r="AC50" s="305">
        <f t="shared" si="111"/>
        <v>0.18796499014395879</v>
      </c>
      <c r="AD50" s="305">
        <f t="shared" si="111"/>
        <v>0.19197502539282116</v>
      </c>
      <c r="AE50" s="305">
        <f t="shared" si="111"/>
        <v>0.19674428992067089</v>
      </c>
      <c r="AF50" s="305">
        <f t="shared" si="111"/>
        <v>0.21841468963792687</v>
      </c>
      <c r="AG50" s="305">
        <f t="shared" si="111"/>
        <v>0.20214409948175724</v>
      </c>
      <c r="AH50" s="305">
        <f t="shared" si="111"/>
        <v>0.20505093889602538</v>
      </c>
      <c r="AI50" s="305">
        <f t="shared" si="111"/>
        <v>0.18203934334118493</v>
      </c>
      <c r="AJ50" s="305">
        <f t="shared" si="111"/>
        <v>0.18577959777145789</v>
      </c>
      <c r="AK50" s="306">
        <f t="shared" si="111"/>
        <v>0.18807931408633613</v>
      </c>
    </row>
    <row r="51" spans="2:37" x14ac:dyDescent="0.25">
      <c r="B51" s="304" t="s">
        <v>287</v>
      </c>
      <c r="C51" s="272" t="s">
        <v>286</v>
      </c>
      <c r="D51" s="272"/>
      <c r="E51" s="272"/>
      <c r="F51" s="272"/>
      <c r="G51" s="320">
        <f>70%*G57</f>
        <v>2589278.4073410719</v>
      </c>
      <c r="H51" s="320">
        <f t="shared" ref="H51:AI51" si="112">70%*H57</f>
        <v>3299357.916360253</v>
      </c>
      <c r="I51" s="320">
        <f t="shared" si="112"/>
        <v>3580341.1567156538</v>
      </c>
      <c r="J51" s="320">
        <f t="shared" si="112"/>
        <v>3971561.0391331157</v>
      </c>
      <c r="K51" s="320">
        <f t="shared" si="112"/>
        <v>4281826.1023225337</v>
      </c>
      <c r="L51" s="320">
        <f t="shared" si="112"/>
        <v>4625070.5841105552</v>
      </c>
      <c r="M51" s="320">
        <f t="shared" si="112"/>
        <v>4843583.0432484709</v>
      </c>
      <c r="N51" s="320">
        <f t="shared" si="112"/>
        <v>5067807.4897527359</v>
      </c>
      <c r="O51" s="320">
        <f t="shared" si="112"/>
        <v>5237550.7298490666</v>
      </c>
      <c r="P51" s="320">
        <f t="shared" si="112"/>
        <v>5436307.8570414567</v>
      </c>
      <c r="Q51" s="320">
        <f t="shared" si="112"/>
        <v>5647747.367742856</v>
      </c>
      <c r="R51" s="320">
        <f t="shared" si="112"/>
        <v>5837363.0992202125</v>
      </c>
      <c r="S51" s="320">
        <f t="shared" si="112"/>
        <v>6015467.732541197</v>
      </c>
      <c r="T51" s="320">
        <f t="shared" si="112"/>
        <v>6109179.8778947731</v>
      </c>
      <c r="U51" s="320">
        <f t="shared" si="112"/>
        <v>6179594.0100374902</v>
      </c>
      <c r="V51" s="320">
        <f t="shared" si="112"/>
        <v>6256109.601456726</v>
      </c>
      <c r="W51" s="320">
        <f t="shared" si="112"/>
        <v>6312540.2313533742</v>
      </c>
      <c r="X51" s="320">
        <f t="shared" si="112"/>
        <v>6367154.8600246012</v>
      </c>
      <c r="Y51" s="320">
        <f t="shared" si="112"/>
        <v>6392820.622734827</v>
      </c>
      <c r="Z51" s="320">
        <f t="shared" si="112"/>
        <v>6422450.0110914567</v>
      </c>
      <c r="AA51" s="320">
        <f t="shared" si="112"/>
        <v>6553218.4020228256</v>
      </c>
      <c r="AB51" s="320">
        <f t="shared" si="112"/>
        <v>6610604.0262839254</v>
      </c>
      <c r="AC51" s="320">
        <f t="shared" si="112"/>
        <v>6655035.8056037109</v>
      </c>
      <c r="AD51" s="320">
        <f t="shared" si="112"/>
        <v>6781223.2110306798</v>
      </c>
      <c r="AE51" s="320">
        <f t="shared" si="112"/>
        <v>6933512.4801132055</v>
      </c>
      <c r="AF51" s="320">
        <f t="shared" si="112"/>
        <v>7679251.1277799634</v>
      </c>
      <c r="AG51" s="320">
        <f t="shared" si="112"/>
        <v>7090583.5642577186</v>
      </c>
      <c r="AH51" s="320">
        <f t="shared" si="112"/>
        <v>7189925.4301219471</v>
      </c>
      <c r="AI51" s="320">
        <f t="shared" si="112"/>
        <v>7292207.1833173623</v>
      </c>
      <c r="AJ51" s="320">
        <f t="shared" ref="AJ51:AK51" si="113">70%*AJ57</f>
        <v>7439236.9973443588</v>
      </c>
      <c r="AK51" s="327">
        <f t="shared" si="113"/>
        <v>7531325.336958942</v>
      </c>
    </row>
    <row r="52" spans="2:37" x14ac:dyDescent="0.25">
      <c r="B52" s="286" t="s">
        <v>289</v>
      </c>
      <c r="C52" s="272" t="s">
        <v>286</v>
      </c>
      <c r="D52" s="272"/>
      <c r="E52" s="272"/>
      <c r="F52" s="272"/>
      <c r="G52" s="321">
        <f>52%*G51</f>
        <v>1346424.7718173575</v>
      </c>
      <c r="H52" s="322">
        <f>52%*H51</f>
        <v>1715666.1165073316</v>
      </c>
      <c r="I52" s="322">
        <f t="shared" ref="I52:J52" si="114">52%*I51</f>
        <v>1861777.40149214</v>
      </c>
      <c r="J52" s="322">
        <f t="shared" si="114"/>
        <v>2065211.7403492201</v>
      </c>
      <c r="K52" s="322">
        <f t="shared" ref="K52" si="115">52%*K51</f>
        <v>2226549.5732077174</v>
      </c>
      <c r="L52" s="322">
        <f t="shared" ref="L52" si="116">52%*L51</f>
        <v>2405036.7037374889</v>
      </c>
      <c r="M52" s="322">
        <f t="shared" ref="M52" si="117">52%*M51</f>
        <v>2518663.1824892052</v>
      </c>
      <c r="N52" s="322">
        <f>53%*N51</f>
        <v>2685937.9695689501</v>
      </c>
      <c r="O52" s="322">
        <f t="shared" ref="O52:R52" si="118">53%*O51</f>
        <v>2775901.8868200053</v>
      </c>
      <c r="P52" s="322">
        <f t="shared" si="118"/>
        <v>2881243.1642319723</v>
      </c>
      <c r="Q52" s="322">
        <f t="shared" si="118"/>
        <v>2993306.1049037138</v>
      </c>
      <c r="R52" s="322">
        <f t="shared" si="118"/>
        <v>3093802.442586713</v>
      </c>
      <c r="S52" s="322">
        <f>54%*S51</f>
        <v>3248352.5755722467</v>
      </c>
      <c r="T52" s="322">
        <f t="shared" ref="T52:W52" si="119">54%*T51</f>
        <v>3298957.1340631777</v>
      </c>
      <c r="U52" s="322">
        <f t="shared" si="119"/>
        <v>3336980.765420245</v>
      </c>
      <c r="V52" s="322">
        <f t="shared" si="119"/>
        <v>3378299.1847866322</v>
      </c>
      <c r="W52" s="322">
        <f t="shared" si="119"/>
        <v>3408771.7249308224</v>
      </c>
      <c r="X52" s="322">
        <f>55%*X51</f>
        <v>3501935.1730135311</v>
      </c>
      <c r="Y52" s="322">
        <f t="shared" ref="Y52:AB52" si="120">55%*Y51</f>
        <v>3516051.3425041554</v>
      </c>
      <c r="Z52" s="322">
        <f t="shared" si="120"/>
        <v>3532347.5061003016</v>
      </c>
      <c r="AA52" s="322">
        <f t="shared" si="120"/>
        <v>3604270.1211125543</v>
      </c>
      <c r="AB52" s="322">
        <f t="shared" si="120"/>
        <v>3635832.2144561592</v>
      </c>
      <c r="AC52" s="322">
        <f>55%*AC51</f>
        <v>3660269.6930820411</v>
      </c>
      <c r="AD52" s="322">
        <f t="shared" ref="AD52:AH52" si="121">55%*AD51</f>
        <v>3729672.7660668744</v>
      </c>
      <c r="AE52" s="322">
        <f t="shared" si="121"/>
        <v>3813431.8640622632</v>
      </c>
      <c r="AF52" s="322">
        <f t="shared" si="121"/>
        <v>4223588.1202789806</v>
      </c>
      <c r="AG52" s="322">
        <f t="shared" si="121"/>
        <v>3899820.9603417455</v>
      </c>
      <c r="AH52" s="322">
        <f t="shared" si="121"/>
        <v>3954458.9865670712</v>
      </c>
      <c r="AI52" s="322">
        <f>55%*AI51</f>
        <v>4010713.9508245494</v>
      </c>
      <c r="AJ52" s="322">
        <f t="shared" ref="AJ52:AK52" si="122">55%*AJ51</f>
        <v>4091580.3485393976</v>
      </c>
      <c r="AK52" s="329">
        <f t="shared" si="122"/>
        <v>4142228.9353274186</v>
      </c>
    </row>
    <row r="53" spans="2:37" x14ac:dyDescent="0.25">
      <c r="B53" s="286" t="s">
        <v>290</v>
      </c>
      <c r="C53" s="272" t="s">
        <v>286</v>
      </c>
      <c r="D53" s="272"/>
      <c r="E53" s="272"/>
      <c r="F53" s="272"/>
      <c r="G53" s="321">
        <f>13%*G51</f>
        <v>336606.19295433938</v>
      </c>
      <c r="H53" s="322">
        <f>13%*H51</f>
        <v>428916.5291268329</v>
      </c>
      <c r="I53" s="322">
        <f t="shared" ref="I53:J53" si="123">13%*I51</f>
        <v>465444.35037303501</v>
      </c>
      <c r="J53" s="322">
        <f t="shared" si="123"/>
        <v>516302.93508730503</v>
      </c>
      <c r="K53" s="322">
        <f t="shared" ref="K53:M53" si="124">13%*K51</f>
        <v>556637.39330192935</v>
      </c>
      <c r="L53" s="322">
        <f t="shared" si="124"/>
        <v>601259.17593437224</v>
      </c>
      <c r="M53" s="322">
        <f t="shared" si="124"/>
        <v>629665.79562230129</v>
      </c>
      <c r="N53" s="322">
        <f>13%*N51</f>
        <v>658814.97366785572</v>
      </c>
      <c r="O53" s="322">
        <f t="shared" ref="O53:R53" si="125">13%*O51</f>
        <v>680881.59488037869</v>
      </c>
      <c r="P53" s="322">
        <f t="shared" si="125"/>
        <v>706720.02141538938</v>
      </c>
      <c r="Q53" s="322">
        <f t="shared" si="125"/>
        <v>734207.15780657134</v>
      </c>
      <c r="R53" s="322">
        <f t="shared" si="125"/>
        <v>758857.20289862761</v>
      </c>
      <c r="S53" s="322">
        <f>17%*S51</f>
        <v>1022629.5145320036</v>
      </c>
      <c r="T53" s="322">
        <f t="shared" ref="T53:W53" si="126">17%*T51</f>
        <v>1038560.5792421115</v>
      </c>
      <c r="U53" s="322">
        <f t="shared" si="126"/>
        <v>1050530.9817063734</v>
      </c>
      <c r="V53" s="322">
        <f t="shared" si="126"/>
        <v>1063538.6322476435</v>
      </c>
      <c r="W53" s="322">
        <f t="shared" si="126"/>
        <v>1073131.8393300737</v>
      </c>
      <c r="X53" s="322">
        <f>19%*X51</f>
        <v>1209759.4234046743</v>
      </c>
      <c r="Y53" s="322">
        <f t="shared" ref="Y53:AB53" si="127">19%*Y51</f>
        <v>1214635.9183196172</v>
      </c>
      <c r="Z53" s="322">
        <f t="shared" si="127"/>
        <v>1220265.5021073767</v>
      </c>
      <c r="AA53" s="322">
        <f t="shared" si="127"/>
        <v>1245111.4963843368</v>
      </c>
      <c r="AB53" s="322">
        <f t="shared" si="127"/>
        <v>1256014.7649939458</v>
      </c>
      <c r="AC53" s="322">
        <f>21%*AC51</f>
        <v>1397557.5191767793</v>
      </c>
      <c r="AD53" s="322">
        <f t="shared" ref="AD53:AH53" si="128">21%*AD51</f>
        <v>1424056.8743164428</v>
      </c>
      <c r="AE53" s="322">
        <f t="shared" si="128"/>
        <v>1456037.6208237731</v>
      </c>
      <c r="AF53" s="322">
        <f t="shared" si="128"/>
        <v>1612642.7368337922</v>
      </c>
      <c r="AG53" s="322">
        <f t="shared" si="128"/>
        <v>1489022.5484941208</v>
      </c>
      <c r="AH53" s="322">
        <f t="shared" si="128"/>
        <v>1509884.3403256088</v>
      </c>
      <c r="AI53" s="322">
        <f>24%*AI51</f>
        <v>1750129.7239961668</v>
      </c>
      <c r="AJ53" s="322">
        <f t="shared" ref="AJ53:AK53" si="129">24%*AJ51</f>
        <v>1785416.879362646</v>
      </c>
      <c r="AK53" s="329">
        <f t="shared" si="129"/>
        <v>1807518.0808701459</v>
      </c>
    </row>
    <row r="54" spans="2:37" s="373" customFormat="1" ht="24" x14ac:dyDescent="0.25">
      <c r="B54" s="507" t="s">
        <v>619</v>
      </c>
      <c r="C54" s="272"/>
      <c r="D54" s="272"/>
      <c r="E54" s="272"/>
      <c r="F54" s="272"/>
      <c r="G54" s="321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9"/>
    </row>
    <row r="55" spans="2:37" s="373" customFormat="1" ht="20.25" customHeight="1" x14ac:dyDescent="0.25">
      <c r="B55" s="507" t="s">
        <v>618</v>
      </c>
      <c r="C55" s="272"/>
      <c r="D55" s="272"/>
      <c r="E55" s="272"/>
      <c r="F55" s="272"/>
      <c r="G55" s="321"/>
      <c r="H55" s="322"/>
      <c r="I55" s="322"/>
      <c r="J55" s="322"/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2"/>
      <c r="AH55" s="322"/>
      <c r="AI55" s="322"/>
      <c r="AJ55" s="322"/>
      <c r="AK55" s="329"/>
    </row>
    <row r="56" spans="2:37" x14ac:dyDescent="0.25">
      <c r="B56" s="286" t="s">
        <v>291</v>
      </c>
      <c r="C56" s="272" t="s">
        <v>286</v>
      </c>
      <c r="D56" s="272"/>
      <c r="E56" s="272"/>
      <c r="F56" s="272"/>
      <c r="G56" s="321">
        <f>35%*G51</f>
        <v>906247.44256937515</v>
      </c>
      <c r="H56" s="322">
        <f>35%*H51</f>
        <v>1154775.2707260884</v>
      </c>
      <c r="I56" s="322">
        <f t="shared" ref="I56:J56" si="130">35%*I51</f>
        <v>1253119.4048504787</v>
      </c>
      <c r="J56" s="322">
        <f t="shared" si="130"/>
        <v>1390046.3636965903</v>
      </c>
      <c r="K56" s="322">
        <f t="shared" ref="K56:M56" si="131">35%*K51</f>
        <v>1498639.1358128868</v>
      </c>
      <c r="L56" s="322">
        <f t="shared" si="131"/>
        <v>1618774.7044386943</v>
      </c>
      <c r="M56" s="322">
        <f t="shared" si="131"/>
        <v>1695254.0651369647</v>
      </c>
      <c r="N56" s="322">
        <f>34%*N51</f>
        <v>1723054.5465159304</v>
      </c>
      <c r="O56" s="322">
        <f t="shared" ref="O56:R56" si="132">34%*O51</f>
        <v>1780767.2481486828</v>
      </c>
      <c r="P56" s="322">
        <f t="shared" si="132"/>
        <v>1848344.6713940955</v>
      </c>
      <c r="Q56" s="322">
        <f t="shared" si="132"/>
        <v>1920234.1050325711</v>
      </c>
      <c r="R56" s="322">
        <f t="shared" si="132"/>
        <v>1984703.4537348724</v>
      </c>
      <c r="S56" s="322">
        <f>29%*S51</f>
        <v>1744485.642436947</v>
      </c>
      <c r="T56" s="322">
        <f t="shared" ref="T56:W56" si="133">29%*T51</f>
        <v>1771662.164589484</v>
      </c>
      <c r="U56" s="322">
        <f t="shared" si="133"/>
        <v>1792082.262910872</v>
      </c>
      <c r="V56" s="322">
        <f t="shared" si="133"/>
        <v>1814271.7844224505</v>
      </c>
      <c r="W56" s="322">
        <f t="shared" si="133"/>
        <v>1830636.6670924784</v>
      </c>
      <c r="X56" s="322">
        <f>26%*X51</f>
        <v>1655460.2636063963</v>
      </c>
      <c r="Y56" s="322">
        <f t="shared" ref="Y56:AB56" si="134">26%*Y51</f>
        <v>1662133.3619110552</v>
      </c>
      <c r="Z56" s="322">
        <f t="shared" si="134"/>
        <v>1669837.0028837789</v>
      </c>
      <c r="AA56" s="322">
        <f t="shared" si="134"/>
        <v>1703836.7845259346</v>
      </c>
      <c r="AB56" s="322">
        <f t="shared" si="134"/>
        <v>1718757.0468338206</v>
      </c>
      <c r="AC56" s="322">
        <f>24%*AC51</f>
        <v>1597208.5933448905</v>
      </c>
      <c r="AD56" s="322">
        <f t="shared" ref="AD56:AH56" si="135">24%*AD51</f>
        <v>1627493.5706473631</v>
      </c>
      <c r="AE56" s="322">
        <f t="shared" si="135"/>
        <v>1664042.9952271692</v>
      </c>
      <c r="AF56" s="322">
        <f t="shared" si="135"/>
        <v>1843020.2706671911</v>
      </c>
      <c r="AG56" s="322">
        <f t="shared" si="135"/>
        <v>1701740.0554218525</v>
      </c>
      <c r="AH56" s="322">
        <f t="shared" si="135"/>
        <v>1725582.1032292673</v>
      </c>
      <c r="AI56" s="322">
        <f>21%*AI51</f>
        <v>1531363.5084966461</v>
      </c>
      <c r="AJ56" s="322">
        <f t="shared" ref="AJ56:AK56" si="136">21%*AJ51</f>
        <v>1562239.7694423152</v>
      </c>
      <c r="AK56" s="329">
        <f t="shared" si="136"/>
        <v>1581578.3207613777</v>
      </c>
    </row>
    <row r="57" spans="2:37" x14ac:dyDescent="0.25">
      <c r="B57" s="288" t="s">
        <v>296</v>
      </c>
      <c r="C57" s="323" t="s">
        <v>286</v>
      </c>
      <c r="D57" s="272"/>
      <c r="E57" s="272"/>
      <c r="F57" s="272"/>
      <c r="G57" s="320">
        <f>'[18]Cost canal_ Cluster_v01'!E109</f>
        <v>3698969.1533443886</v>
      </c>
      <c r="H57" s="320">
        <f>'[18]Cost canal_ Cluster_v01'!F109</f>
        <v>4713368.4519432187</v>
      </c>
      <c r="I57" s="320">
        <f>'[18]Cost canal_ Cluster_v01'!G109</f>
        <v>5114773.0810223632</v>
      </c>
      <c r="J57" s="320">
        <f>'[18]Cost canal_ Cluster_v01'!H109</f>
        <v>5673658.6273330227</v>
      </c>
      <c r="K57" s="320">
        <f>'[18]Cost canal_ Cluster_v01'!I109</f>
        <v>6116894.4318893338</v>
      </c>
      <c r="L57" s="320">
        <f>'[18]Cost canal_ Cluster_v01'!J109</f>
        <v>6607243.6915865075</v>
      </c>
      <c r="M57" s="320">
        <f>'[18]Cost canal_ Cluster_v01'!K109</f>
        <v>6919404.3474978162</v>
      </c>
      <c r="N57" s="320">
        <f>'[18]Cost canal_ Cluster_v01'!L109</f>
        <v>7239724.9853610517</v>
      </c>
      <c r="O57" s="320">
        <f>'[18]Cost canal_ Cluster_v01'!M109</f>
        <v>7482215.3283558097</v>
      </c>
      <c r="P57" s="320">
        <f>'[18]Cost canal_ Cluster_v01'!N109</f>
        <v>7766154.0814877953</v>
      </c>
      <c r="Q57" s="320">
        <f>'[18]Cost canal_ Cluster_v01'!O109</f>
        <v>8068210.5253469376</v>
      </c>
      <c r="R57" s="320">
        <f>'[18]Cost canal_ Cluster_v01'!P109</f>
        <v>8339090.1417431608</v>
      </c>
      <c r="S57" s="320">
        <f>'[18]Cost canal_ Cluster_v01'!Q109</f>
        <v>8593525.33220171</v>
      </c>
      <c r="T57" s="320">
        <f>'[18]Cost canal_ Cluster_v01'!R109</f>
        <v>8727399.8255639616</v>
      </c>
      <c r="U57" s="320">
        <f>'[18]Cost canal_ Cluster_v01'!S109</f>
        <v>8827991.442910701</v>
      </c>
      <c r="V57" s="320">
        <f>'[18]Cost canal_ Cluster_v01'!T109</f>
        <v>8937299.4306524657</v>
      </c>
      <c r="W57" s="320">
        <f>'[18]Cost canal_ Cluster_v01'!U109</f>
        <v>9017914.6162191071</v>
      </c>
      <c r="X57" s="320">
        <f>'[18]Cost canal_ Cluster_v01'!V109</f>
        <v>9095935.5143208597</v>
      </c>
      <c r="Y57" s="320">
        <f>'[18]Cost canal_ Cluster_v01'!W109</f>
        <v>9132600.8896211814</v>
      </c>
      <c r="Z57" s="320">
        <f>'[18]Cost canal_ Cluster_v01'!X109</f>
        <v>9174928.5872735102</v>
      </c>
      <c r="AA57" s="320">
        <f>'[18]Cost canal_ Cluster_v01'!Y109</f>
        <v>9361740.5743183233</v>
      </c>
      <c r="AB57" s="320">
        <f>'[18]Cost canal_ Cluster_v01'!Z109</f>
        <v>9443720.0375484657</v>
      </c>
      <c r="AC57" s="320">
        <f>'[18]Cost canal_ Cluster_v01'!AA109</f>
        <v>9507194.0080053024</v>
      </c>
      <c r="AD57" s="320">
        <f>'[18]Cost canal_ Cluster_v01'!AB109</f>
        <v>9687461.7300438285</v>
      </c>
      <c r="AE57" s="320">
        <f>'[18]Cost canal_ Cluster_v01'!AC109</f>
        <v>9905017.8287331518</v>
      </c>
      <c r="AF57" s="320">
        <f>'[18]Cost canal_ Cluster_v01'!AD109</f>
        <v>10970358.753971377</v>
      </c>
      <c r="AG57" s="320">
        <f>'[18]Cost canal_ Cluster_v01'!AE109</f>
        <v>10129405.091796741</v>
      </c>
      <c r="AH57" s="320">
        <f>'[18]Cost canal_ Cluster_v01'!AF109</f>
        <v>10271322.043031354</v>
      </c>
      <c r="AI57" s="320">
        <f>'[18]Cost canal_ Cluster_v01'!AG109</f>
        <v>10417438.833310518</v>
      </c>
      <c r="AJ57" s="320">
        <f>'[18]Cost canal_ Cluster_v01'!AH109</f>
        <v>10627481.424777657</v>
      </c>
      <c r="AK57" s="327">
        <f>'[18]Cost canal_ Cluster_v01'!AI109</f>
        <v>10759036.195655633</v>
      </c>
    </row>
    <row r="58" spans="2:37" x14ac:dyDescent="0.25">
      <c r="B58" s="286" t="s">
        <v>295</v>
      </c>
      <c r="C58" s="323" t="s">
        <v>273</v>
      </c>
      <c r="D58" s="272"/>
      <c r="E58" s="272"/>
      <c r="F58" s="272"/>
      <c r="G58" s="321">
        <f>'prognoze cantitati'!H244</f>
        <v>4956456</v>
      </c>
      <c r="H58" s="321">
        <f>'prognoze cantitati'!I244</f>
        <v>4622063</v>
      </c>
      <c r="I58" s="321">
        <f>'prognoze cantitati'!J244</f>
        <v>4686773</v>
      </c>
      <c r="J58" s="321">
        <f>'prognoze cantitati'!K244</f>
        <v>4478719</v>
      </c>
      <c r="K58" s="321">
        <f>'prognoze cantitati'!L244</f>
        <v>4668927</v>
      </c>
      <c r="L58" s="321">
        <f>'prognoze cantitati'!M244</f>
        <v>4461738.6202145293</v>
      </c>
      <c r="M58" s="321">
        <f>'prognoze cantitati'!N244</f>
        <v>4620312.686490207</v>
      </c>
      <c r="N58" s="321">
        <f>'prognoze cantitati'!O244</f>
        <v>4783190.1936384197</v>
      </c>
      <c r="O58" s="321">
        <f>'prognoze cantitati'!P244</f>
        <v>4944153.6651710412</v>
      </c>
      <c r="P58" s="321">
        <f>'prognoze cantitati'!Q244</f>
        <v>5102368.9174758317</v>
      </c>
      <c r="Q58" s="321">
        <f>'prognoze cantitati'!R244</f>
        <v>8579799.1008371897</v>
      </c>
      <c r="R58" s="321">
        <f>'prognoze cantitati'!S244</f>
        <v>8582061.3167826869</v>
      </c>
      <c r="S58" s="321">
        <f>'prognoze cantitati'!T244</f>
        <v>8583979.6596978232</v>
      </c>
      <c r="T58" s="321">
        <f>'prognoze cantitati'!U244</f>
        <v>8585558.6780891195</v>
      </c>
      <c r="U58" s="321">
        <f>'prognoze cantitati'!V244</f>
        <v>8586802.8746630698</v>
      </c>
      <c r="V58" s="321">
        <f>'prognoze cantitati'!W244</f>
        <v>8587716.7067375798</v>
      </c>
      <c r="W58" s="321">
        <f>'prognoze cantitati'!X244</f>
        <v>8588304.5866500214</v>
      </c>
      <c r="X58" s="321">
        <f>'prognoze cantitati'!Y244</f>
        <v>8596156.5954958629</v>
      </c>
      <c r="Y58" s="321">
        <f>'prognoze cantitati'!Z244</f>
        <v>8576391.2979124486</v>
      </c>
      <c r="Z58" s="321">
        <f>'prognoze cantitati'!AA244</f>
        <v>8556629.6796587352</v>
      </c>
      <c r="AA58" s="321">
        <f>'prognoze cantitati'!AB244</f>
        <v>8536872.3333892599</v>
      </c>
      <c r="AB58" s="321">
        <f>'prognoze cantitati'!AC244</f>
        <v>8517119.8449255321</v>
      </c>
      <c r="AC58" s="321">
        <f>'prognoze cantitati'!AD244</f>
        <v>8497372.7933144309</v>
      </c>
      <c r="AD58" s="321">
        <f>'prognoze cantitati'!AE244</f>
        <v>8477631.7508861888</v>
      </c>
      <c r="AE58" s="321">
        <f>'prognoze cantitati'!AF244</f>
        <v>8457897.2833118904</v>
      </c>
      <c r="AF58" s="321">
        <f>'prognoze cantitati'!AG244</f>
        <v>8438169.9496605545</v>
      </c>
      <c r="AG58" s="321">
        <f>'prognoze cantitati'!AH244</f>
        <v>8418450.3024557903</v>
      </c>
      <c r="AH58" s="321">
        <f>'prognoze cantitati'!AI244</f>
        <v>8415382.5996585824</v>
      </c>
      <c r="AI58" s="321">
        <f>'prognoze cantitati'!AJ244</f>
        <v>8412266.7132813558</v>
      </c>
      <c r="AJ58" s="321">
        <f>'prognoze cantitati'!AK244</f>
        <v>8409102.9810719546</v>
      </c>
      <c r="AK58" s="328">
        <f>'prognoze cantitati'!AL244</f>
        <v>8409102.9810719546</v>
      </c>
    </row>
    <row r="59" spans="2:37" x14ac:dyDescent="0.25">
      <c r="B59" s="286" t="s">
        <v>510</v>
      </c>
      <c r="C59" s="323" t="s">
        <v>299</v>
      </c>
      <c r="D59" s="272"/>
      <c r="E59" s="272"/>
      <c r="F59" s="272"/>
      <c r="G59" s="313">
        <f>'[18]Populatie racordata AU'!E285</f>
        <v>245720.63594706717</v>
      </c>
      <c r="H59" s="313">
        <f>'[18]Populatie racordata AU'!F285</f>
        <v>262172.67076293286</v>
      </c>
      <c r="I59" s="313">
        <f>'[18]Populatie racordata AU'!G285</f>
        <v>295291.23063439713</v>
      </c>
      <c r="J59" s="313">
        <f>'[18]Populatie racordata AU'!H285</f>
        <v>334740.11418897059</v>
      </c>
      <c r="K59" s="313">
        <f>'[18]Populatie racordata AU'!I285</f>
        <v>364547.87927879923</v>
      </c>
      <c r="L59" s="313">
        <f>'[18]Populatie racordata AU'!J285</f>
        <v>397370.47744367027</v>
      </c>
      <c r="M59" s="313">
        <f>'[18]Populatie racordata AU'!K285</f>
        <v>417788.48783558235</v>
      </c>
      <c r="N59" s="313">
        <f>'[18]Populatie racordata AU'!L285</f>
        <v>438848.36961821152</v>
      </c>
      <c r="O59" s="313">
        <f>'[18]Populatie racordata AU'!M285</f>
        <v>451876.46286125953</v>
      </c>
      <c r="P59" s="313">
        <f>'[18]Populatie racordata AU'!N285</f>
        <v>468547.01086839789</v>
      </c>
      <c r="Q59" s="313">
        <f>'[18]Populatie racordata AU'!O285</f>
        <v>486445.10037129372</v>
      </c>
      <c r="R59" s="313">
        <f>'[18]Populatie racordata AU'!P285</f>
        <v>501448.70789803553</v>
      </c>
      <c r="S59" s="313">
        <f>'[18]Populatie racordata AU'!Q285</f>
        <v>514860.01648845</v>
      </c>
      <c r="T59" s="313">
        <f>'[18]Populatie racordata AU'!R285</f>
        <v>522568.14410057245</v>
      </c>
      <c r="U59" s="313">
        <f>'[18]Populatie racordata AU'!S285</f>
        <v>527170.09739535209</v>
      </c>
      <c r="V59" s="313">
        <f>'[18]Populatie racordata AU'!T285</f>
        <v>531245.73794386478</v>
      </c>
      <c r="W59" s="313">
        <f>'[18]Populatie racordata AU'!U285</f>
        <v>533492.10854193289</v>
      </c>
      <c r="X59" s="313">
        <f>'[18]Populatie racordata AU'!V285</f>
        <v>534656.87026181305</v>
      </c>
      <c r="Y59" s="313">
        <f>'[18]Populatie racordata AU'!W285</f>
        <v>533147.36375047383</v>
      </c>
      <c r="Z59" s="313">
        <f>'[18]Populatie racordata AU'!X285</f>
        <v>531422.76166842761</v>
      </c>
      <c r="AA59" s="313">
        <f>'[18]Populatie racordata AU'!Y285</f>
        <v>529689.46274013806</v>
      </c>
      <c r="AB59" s="313">
        <f>'[18]Populatie racordata AU'!Z285</f>
        <v>527721.65532971767</v>
      </c>
      <c r="AC59" s="313">
        <f>'[18]Populatie racordata AU'!AA285</f>
        <v>525802.41899619158</v>
      </c>
      <c r="AD59" s="313">
        <f>'[18]Populatie racordata AU'!AB285</f>
        <v>524122.65859099221</v>
      </c>
      <c r="AE59" s="313">
        <f>'[18]Populatie racordata AU'!AC285</f>
        <v>521945.29972700425</v>
      </c>
      <c r="AF59" s="313">
        <f>'[18]Populatie racordata AU'!AD285</f>
        <v>603918.56461820891</v>
      </c>
      <c r="AG59" s="313">
        <f>'[18]Populatie racordata AU'!AE285</f>
        <v>517988.70166876883</v>
      </c>
      <c r="AH59" s="313">
        <f>'[18]Populatie racordata AU'!AF285</f>
        <v>515469.59473860805</v>
      </c>
      <c r="AI59" s="313">
        <f>'[18]Populatie racordata AU'!AG285</f>
        <v>512457.35314432776</v>
      </c>
      <c r="AJ59" s="313">
        <f>'[18]Populatie racordata AU'!AH285</f>
        <v>508962.79013134819</v>
      </c>
      <c r="AK59" s="314">
        <f>'[18]Populatie racordata AU'!AI285</f>
        <v>505803.77480322518</v>
      </c>
    </row>
    <row r="60" spans="2:37" ht="15.75" thickBot="1" x14ac:dyDescent="0.3">
      <c r="B60" s="315" t="s">
        <v>315</v>
      </c>
      <c r="C60" s="324" t="s">
        <v>300</v>
      </c>
      <c r="D60" s="289"/>
      <c r="E60" s="289"/>
      <c r="F60" s="289"/>
      <c r="G60" s="325">
        <f>G57/G59</f>
        <v>15.0535551850892</v>
      </c>
      <c r="H60" s="325">
        <f>H57/H59</f>
        <v>17.978107474845221</v>
      </c>
      <c r="I60" s="325">
        <f>I57/I59</f>
        <v>17.321114040650304</v>
      </c>
      <c r="J60" s="325">
        <f t="shared" ref="J60" si="137">J57/J59</f>
        <v>16.949443424429486</v>
      </c>
      <c r="K60" s="325">
        <f t="shared" ref="K60" si="138">K57/K59</f>
        <v>16.779399304120627</v>
      </c>
      <c r="L60" s="325">
        <f t="shared" ref="L60" si="139">L57/L59</f>
        <v>16.627414633547168</v>
      </c>
      <c r="M60" s="325">
        <f t="shared" ref="M60" si="140">M57/M59</f>
        <v>16.561979444059975</v>
      </c>
      <c r="N60" s="325">
        <f t="shared" ref="N60" si="141">N57/N59</f>
        <v>16.497098967598887</v>
      </c>
      <c r="O60" s="325">
        <f t="shared" ref="O60" si="142">O57/O59</f>
        <v>16.558099266730537</v>
      </c>
      <c r="P60" s="325">
        <f t="shared" ref="P60" si="143">P57/P59</f>
        <v>16.574973057866966</v>
      </c>
      <c r="Q60" s="325">
        <f t="shared" ref="Q60" si="144">Q57/Q59</f>
        <v>16.586065969599932</v>
      </c>
      <c r="R60" s="325">
        <f t="shared" ref="R60" si="145">R57/R59</f>
        <v>16.629996269606163</v>
      </c>
      <c r="S60" s="325">
        <f t="shared" ref="S60:U60" si="146">S57/S59</f>
        <v>16.690993778877935</v>
      </c>
      <c r="T60" s="325">
        <f t="shared" si="146"/>
        <v>16.700979430319624</v>
      </c>
      <c r="U60" s="325">
        <f t="shared" si="146"/>
        <v>16.746001881609256</v>
      </c>
      <c r="V60" s="325">
        <f t="shared" ref="V60" si="147">V57/V59</f>
        <v>16.823286837544181</v>
      </c>
      <c r="W60" s="325">
        <f t="shared" ref="W60" si="148">W57/W59</f>
        <v>16.90355765686137</v>
      </c>
      <c r="X60" s="325">
        <f t="shared" ref="X60" si="149">X57/X59</f>
        <v>17.012659932466075</v>
      </c>
      <c r="Y60" s="325">
        <f t="shared" ref="Y60" si="150">Y57/Y59</f>
        <v>17.12959963897611</v>
      </c>
      <c r="Z60" s="325">
        <f t="shared" ref="Z60" si="151">Z57/Z59</f>
        <v>17.264839312618783</v>
      </c>
      <c r="AA60" s="325">
        <f t="shared" ref="AA60" si="152">AA57/AA59</f>
        <v>17.674017009681627</v>
      </c>
      <c r="AB60" s="325">
        <f t="shared" ref="AB60" si="153">AB57/AB59</f>
        <v>17.895267215532552</v>
      </c>
      <c r="AC60" s="325">
        <f t="shared" ref="AC60" si="154">AC57/AC59</f>
        <v>18.081305190941244</v>
      </c>
      <c r="AD60" s="325">
        <f t="shared" ref="AD60" si="155">AD57/AD59</f>
        <v>18.483195815435256</v>
      </c>
      <c r="AE60" s="325">
        <f t="shared" ref="AE60" si="156">AE57/AE59</f>
        <v>18.977118548464418</v>
      </c>
      <c r="AF60" s="325">
        <f t="shared" ref="AF60" si="157">AF57/AF59</f>
        <v>18.165294787562502</v>
      </c>
      <c r="AG60" s="325">
        <f t="shared" ref="AG60" si="158">AG57/AG59</f>
        <v>19.55526261318737</v>
      </c>
      <c r="AH60" s="325">
        <f t="shared" ref="AH60" si="159">AH57/AH59</f>
        <v>19.926145301043192</v>
      </c>
      <c r="AI60" s="325">
        <f t="shared" ref="AI60:AK60" si="160">AI57/AI59</f>
        <v>20.328401513592031</v>
      </c>
      <c r="AJ60" s="325">
        <f t="shared" si="160"/>
        <v>20.880664816449585</v>
      </c>
      <c r="AK60" s="330">
        <f t="shared" si="160"/>
        <v>21.27116627360336</v>
      </c>
    </row>
    <row r="61" spans="2:37" hidden="1" x14ac:dyDescent="0.25">
      <c r="B61" s="71"/>
      <c r="C61" s="242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7"/>
    </row>
    <row r="62" spans="2:37" hidden="1" x14ac:dyDescent="0.25">
      <c r="B62" s="97" t="s">
        <v>508</v>
      </c>
      <c r="C62" s="204" t="s">
        <v>273</v>
      </c>
      <c r="D62" s="31"/>
      <c r="E62" s="31"/>
      <c r="F62" s="31"/>
      <c r="G62" s="195">
        <f>G58*0.96</f>
        <v>4758197.76</v>
      </c>
      <c r="H62" s="195">
        <f>H58*0.96</f>
        <v>4437180.4799999995</v>
      </c>
      <c r="I62" s="196">
        <f>I58*0.96</f>
        <v>4499302.08</v>
      </c>
      <c r="J62" s="196">
        <f t="shared" ref="J62:AH62" si="161">J58*0.96</f>
        <v>4299570.24</v>
      </c>
      <c r="K62" s="196">
        <f t="shared" si="161"/>
        <v>4482169.92</v>
      </c>
      <c r="L62" s="196">
        <f t="shared" si="161"/>
        <v>4283269.0754059479</v>
      </c>
      <c r="M62" s="196">
        <f t="shared" si="161"/>
        <v>4435500.1790305981</v>
      </c>
      <c r="N62" s="195">
        <f t="shared" si="161"/>
        <v>4591862.5858928831</v>
      </c>
      <c r="O62" s="196">
        <f t="shared" si="161"/>
        <v>4746387.5185641991</v>
      </c>
      <c r="P62" s="196">
        <f t="shared" si="161"/>
        <v>4898274.1607767986</v>
      </c>
      <c r="Q62" s="196">
        <f t="shared" si="161"/>
        <v>8236607.1368037015</v>
      </c>
      <c r="R62" s="196">
        <f t="shared" si="161"/>
        <v>8238778.8641113788</v>
      </c>
      <c r="S62" s="195">
        <f t="shared" si="161"/>
        <v>8240620.4733099099</v>
      </c>
      <c r="T62" s="195">
        <f t="shared" si="161"/>
        <v>8242136.3309655543</v>
      </c>
      <c r="U62" s="195">
        <f t="shared" si="161"/>
        <v>8243330.7596765468</v>
      </c>
      <c r="V62" s="195">
        <f t="shared" si="161"/>
        <v>8244208.0384680759</v>
      </c>
      <c r="W62" s="195">
        <f t="shared" si="161"/>
        <v>8244772.40318402</v>
      </c>
      <c r="X62" s="195">
        <f t="shared" si="161"/>
        <v>8252310.3316760277</v>
      </c>
      <c r="Y62" s="195">
        <f t="shared" si="161"/>
        <v>8233335.6459959503</v>
      </c>
      <c r="Z62" s="195">
        <f t="shared" si="161"/>
        <v>8214364.4924723851</v>
      </c>
      <c r="AA62" s="195">
        <f t="shared" si="161"/>
        <v>8195397.4400536893</v>
      </c>
      <c r="AB62" s="195">
        <f t="shared" si="161"/>
        <v>8176435.0511285104</v>
      </c>
      <c r="AC62" s="195">
        <f t="shared" si="161"/>
        <v>8157477.8815818531</v>
      </c>
      <c r="AD62" s="195">
        <f t="shared" si="161"/>
        <v>8138526.4808507413</v>
      </c>
      <c r="AE62" s="195">
        <f t="shared" si="161"/>
        <v>8119581.391979415</v>
      </c>
      <c r="AF62" s="195">
        <f t="shared" si="161"/>
        <v>8100643.1516741319</v>
      </c>
      <c r="AG62" s="195">
        <f t="shared" si="161"/>
        <v>8081712.2903575581</v>
      </c>
      <c r="AH62" s="195">
        <f t="shared" si="161"/>
        <v>8078767.2956722388</v>
      </c>
      <c r="AI62" s="195">
        <f>AI58*0.96</f>
        <v>8075776.0447501009</v>
      </c>
      <c r="AJ62" s="195">
        <f t="shared" ref="AJ62:AK62" si="162">AJ58*0.96</f>
        <v>8072738.861829076</v>
      </c>
      <c r="AK62" s="227">
        <f t="shared" si="162"/>
        <v>8072738.861829076</v>
      </c>
    </row>
    <row r="63" spans="2:37" ht="30" hidden="1" x14ac:dyDescent="0.25">
      <c r="B63" s="235" t="s">
        <v>312</v>
      </c>
      <c r="C63" s="204" t="s">
        <v>288</v>
      </c>
      <c r="D63" s="31"/>
      <c r="E63" s="31"/>
      <c r="F63" s="31"/>
      <c r="G63" s="201">
        <f>G57/G62</f>
        <v>0.77738869629167928</v>
      </c>
      <c r="H63" s="202">
        <f>H57/H62</f>
        <v>1.0622440248234435</v>
      </c>
      <c r="I63" s="202">
        <f>I57/I62</f>
        <v>1.1367925491729516</v>
      </c>
      <c r="J63" s="202">
        <f t="shared" ref="J63:AI63" si="163">J57/J62</f>
        <v>1.3195873798152027</v>
      </c>
      <c r="K63" s="202">
        <f t="shared" si="163"/>
        <v>1.3647172108748018</v>
      </c>
      <c r="L63" s="202">
        <f t="shared" si="163"/>
        <v>1.5425703067604513</v>
      </c>
      <c r="M63" s="202">
        <f t="shared" si="163"/>
        <v>1.5600054262674132</v>
      </c>
      <c r="N63" s="202">
        <f t="shared" si="163"/>
        <v>1.5766423428268366</v>
      </c>
      <c r="O63" s="202">
        <f t="shared" si="163"/>
        <v>1.5764021161549002</v>
      </c>
      <c r="P63" s="202">
        <f t="shared" si="163"/>
        <v>1.5854878323626114</v>
      </c>
      <c r="Q63" s="202">
        <f t="shared" si="163"/>
        <v>0.97955509973222887</v>
      </c>
      <c r="R63" s="202">
        <f t="shared" si="163"/>
        <v>1.0121755031038331</v>
      </c>
      <c r="S63" s="202">
        <f t="shared" si="163"/>
        <v>1.042825034842316</v>
      </c>
      <c r="T63" s="202">
        <f t="shared" si="163"/>
        <v>1.0588759364213962</v>
      </c>
      <c r="U63" s="202">
        <f t="shared" si="163"/>
        <v>1.070925297101277</v>
      </c>
      <c r="V63" s="202">
        <f t="shared" si="163"/>
        <v>1.0840700997537149</v>
      </c>
      <c r="W63" s="202">
        <f t="shared" si="163"/>
        <v>1.0937736271211695</v>
      </c>
      <c r="X63" s="202">
        <f t="shared" si="163"/>
        <v>1.1022289696749072</v>
      </c>
      <c r="Y63" s="202">
        <f t="shared" si="163"/>
        <v>1.109222468546216</v>
      </c>
      <c r="Z63" s="202">
        <f t="shared" si="163"/>
        <v>1.1169371161556543</v>
      </c>
      <c r="AA63" s="202">
        <f t="shared" si="163"/>
        <v>1.1423168483036978</v>
      </c>
      <c r="AB63" s="202">
        <f t="shared" si="163"/>
        <v>1.1549923626244722</v>
      </c>
      <c r="AC63" s="202">
        <f t="shared" si="163"/>
        <v>1.165457528174348</v>
      </c>
      <c r="AD63" s="202">
        <f t="shared" si="163"/>
        <v>1.1903213380011235</v>
      </c>
      <c r="AE63" s="202">
        <f t="shared" si="163"/>
        <v>1.2198926706390805</v>
      </c>
      <c r="AF63" s="202">
        <f t="shared" si="163"/>
        <v>1.354257748251035</v>
      </c>
      <c r="AG63" s="202">
        <f t="shared" si="163"/>
        <v>1.2533736326993876</v>
      </c>
      <c r="AH63" s="202">
        <f t="shared" si="163"/>
        <v>1.2713971905755543</v>
      </c>
      <c r="AI63" s="202">
        <f t="shared" si="163"/>
        <v>1.2899613332000068</v>
      </c>
      <c r="AJ63" s="202">
        <f t="shared" ref="AJ63:AK63" si="164">AJ57/AJ62</f>
        <v>1.3164654037093109</v>
      </c>
      <c r="AK63" s="236">
        <f t="shared" si="164"/>
        <v>1.3327615794099787</v>
      </c>
    </row>
    <row r="64" spans="2:37" ht="30.75" hidden="1" thickBot="1" x14ac:dyDescent="0.3">
      <c r="B64" s="237" t="s">
        <v>312</v>
      </c>
      <c r="C64" s="205" t="s">
        <v>313</v>
      </c>
      <c r="D64" s="93"/>
      <c r="E64" s="93"/>
      <c r="F64" s="93"/>
      <c r="G64" s="238">
        <f>G63*Ipoteze!F64</f>
        <v>3.4352806489129306</v>
      </c>
      <c r="H64" s="239">
        <f>H63*Ipoteze!G64</f>
        <v>4.7269859104643235</v>
      </c>
      <c r="I64" s="239">
        <f>I63*Ipoteze!H64</f>
        <v>5.0018872163609878</v>
      </c>
      <c r="J64" s="239">
        <f>J63*Ipoteze!I64</f>
        <v>5.8061844711868922</v>
      </c>
      <c r="K64" s="239">
        <f>K63*Ipoteze!J64</f>
        <v>5.9638142115228838</v>
      </c>
      <c r="L64" s="239">
        <f>L63*Ipoteze!K64</f>
        <v>6.7410322405431717</v>
      </c>
      <c r="M64" s="239">
        <f>M63*Ipoteze!L64</f>
        <v>6.8172237127885964</v>
      </c>
      <c r="N64" s="239">
        <f>N63*Ipoteze!M64</f>
        <v>6.8899270381532762</v>
      </c>
      <c r="O64" s="239">
        <f>O63*Ipoteze!N64</f>
        <v>6.8888772475969144</v>
      </c>
      <c r="P64" s="239">
        <f>P63*Ipoteze!O64</f>
        <v>6.9285818274246118</v>
      </c>
      <c r="Q64" s="239">
        <f>Q63*Ipoteze!P64</f>
        <v>4.2806557858298406</v>
      </c>
      <c r="R64" s="239">
        <f>R63*Ipoteze!Q64</f>
        <v>4.4232069485637506</v>
      </c>
      <c r="S64" s="239">
        <f>S63*Ipoteze!R64</f>
        <v>4.5571454022609208</v>
      </c>
      <c r="T64" s="239">
        <f>T63*Ipoteze!S64</f>
        <v>4.6272878421615014</v>
      </c>
      <c r="U64" s="239">
        <f>U63*Ipoteze!T64</f>
        <v>4.6799435483325809</v>
      </c>
      <c r="V64" s="239">
        <f>V63*Ipoteze!U64</f>
        <v>4.737386335923734</v>
      </c>
      <c r="W64" s="239">
        <f>W63*Ipoteze!V64</f>
        <v>4.7797907505195107</v>
      </c>
      <c r="X64" s="239">
        <f>X63*Ipoteze!W64</f>
        <v>4.8167405974793445</v>
      </c>
      <c r="Y64" s="239">
        <f>Y63*Ipoteze!X64</f>
        <v>4.8473021875469637</v>
      </c>
      <c r="Z64" s="239">
        <f>Z63*Ipoteze!Y64</f>
        <v>4.8810151976002096</v>
      </c>
      <c r="AA64" s="239">
        <f>AA63*Ipoteze!Z64</f>
        <v>4.99192462708716</v>
      </c>
      <c r="AB64" s="239">
        <f>AB63*Ipoteze!AA64</f>
        <v>5.0473166246689436</v>
      </c>
      <c r="AC64" s="239">
        <f>AC63*Ipoteze!AB64</f>
        <v>5.0930493981219005</v>
      </c>
      <c r="AD64" s="239">
        <f>AD63*Ipoteze!AC64</f>
        <v>5.2017042470649102</v>
      </c>
      <c r="AE64" s="239">
        <f>AE63*Ipoteze!AD64</f>
        <v>5.3309309706927817</v>
      </c>
      <c r="AF64" s="239">
        <f>AF63*Ipoteze!AE64</f>
        <v>5.9181063598570232</v>
      </c>
      <c r="AG64" s="239">
        <f>AG63*Ipoteze!AF64</f>
        <v>5.4772427748963244</v>
      </c>
      <c r="AH64" s="239">
        <f>AH63*Ipoteze!AG64</f>
        <v>5.5560057228151729</v>
      </c>
      <c r="AI64" s="239">
        <f>AI63*Ipoteze!AH64</f>
        <v>5.6371310260840302</v>
      </c>
      <c r="AJ64" s="239">
        <f>AJ63*Ipoteze!AI64</f>
        <v>5.7529538142096888</v>
      </c>
      <c r="AK64" s="240">
        <f>AK63*Ipoteze!AJ64</f>
        <v>5.8241681020216074</v>
      </c>
    </row>
    <row r="66" spans="3:37" x14ac:dyDescent="0.25">
      <c r="G66" s="216" t="s">
        <v>513</v>
      </c>
      <c r="H66" s="216" t="s">
        <v>514</v>
      </c>
    </row>
    <row r="67" spans="3:37" x14ac:dyDescent="0.25">
      <c r="C67" s="218" t="s">
        <v>511</v>
      </c>
      <c r="G67" s="220">
        <f>SUM(G32:N32)</f>
        <v>61621187.516729936</v>
      </c>
      <c r="H67" s="101">
        <f>'Investitii-curente-old'!C42</f>
        <v>9729185.2692610882</v>
      </c>
    </row>
    <row r="68" spans="3:37" x14ac:dyDescent="0.25">
      <c r="C68" s="218" t="s">
        <v>512</v>
      </c>
      <c r="G68" s="219">
        <f>SUM(G57:N57)</f>
        <v>46084036.769977704</v>
      </c>
      <c r="H68" s="101">
        <f>'Investitii-curente-old'!D42</f>
        <v>36759288.486125976</v>
      </c>
    </row>
    <row r="69" spans="3:37" x14ac:dyDescent="0.25">
      <c r="G69" s="221">
        <f>G67+G68</f>
        <v>107705224.28670764</v>
      </c>
      <c r="H69" s="221">
        <f>H67+H68</f>
        <v>46488473.755387068</v>
      </c>
    </row>
    <row r="71" spans="3:37" x14ac:dyDescent="0.25">
      <c r="C71" s="218" t="s">
        <v>511</v>
      </c>
      <c r="G71" s="101">
        <f>SUM(O32:S32)</f>
        <v>43113094.049907804</v>
      </c>
      <c r="H71" s="101">
        <f>'Investitii-curente-old'!C43</f>
        <v>73965428.480884939</v>
      </c>
    </row>
    <row r="72" spans="3:37" x14ac:dyDescent="0.25">
      <c r="C72" s="218" t="s">
        <v>512</v>
      </c>
      <c r="G72" s="101">
        <f>SUM(O57:S57)</f>
        <v>40249195.409135416</v>
      </c>
      <c r="H72" s="101">
        <f>'Investitii-curente-old'!D43</f>
        <v>34052897.539514922</v>
      </c>
    </row>
    <row r="73" spans="3:37" x14ac:dyDescent="0.25">
      <c r="G73" s="101">
        <f>SUM(G71:G72)</f>
        <v>83362289.45904322</v>
      </c>
      <c r="H73" s="101">
        <f>SUM(H71:H72)</f>
        <v>108018326.02039987</v>
      </c>
    </row>
    <row r="75" spans="3:37" x14ac:dyDescent="0.25">
      <c r="G75" s="222">
        <f>SUM(T32:X32)</f>
        <v>44825309.637139454</v>
      </c>
      <c r="H75" s="219">
        <f>'Investitii-curente-old'!C44</f>
        <v>15782049.5</v>
      </c>
    </row>
    <row r="76" spans="3:37" x14ac:dyDescent="0.25">
      <c r="G76" s="219">
        <f>SUM(T57:X57)</f>
        <v>44606540.829667091</v>
      </c>
      <c r="H76" s="219">
        <f>'Investitii-curente-old'!D44</f>
        <v>94865161.368622825</v>
      </c>
    </row>
    <row r="77" spans="3:37" x14ac:dyDescent="0.25">
      <c r="G77" s="184">
        <f>SUM(G75:G76)</f>
        <v>89431850.466806546</v>
      </c>
      <c r="H77" s="184">
        <f>SUM(H75:H76)</f>
        <v>110647210.86862282</v>
      </c>
    </row>
    <row r="79" spans="3:37" x14ac:dyDescent="0.25">
      <c r="G79" s="267">
        <v>2013</v>
      </c>
      <c r="H79" s="267">
        <v>2014</v>
      </c>
      <c r="I79" s="267">
        <v>2015</v>
      </c>
      <c r="J79" s="267">
        <v>2016</v>
      </c>
      <c r="K79" s="267">
        <v>2017</v>
      </c>
      <c r="L79" s="267">
        <v>2018</v>
      </c>
      <c r="M79" s="267">
        <v>2019</v>
      </c>
      <c r="N79" s="267">
        <v>2020</v>
      </c>
      <c r="O79" s="267">
        <v>2021</v>
      </c>
      <c r="P79" s="267">
        <v>2022</v>
      </c>
      <c r="Q79" s="267">
        <v>2023</v>
      </c>
      <c r="R79" s="267">
        <v>2024</v>
      </c>
      <c r="S79" s="267">
        <v>2025</v>
      </c>
      <c r="T79" s="267">
        <v>2026</v>
      </c>
      <c r="U79" s="267">
        <v>2027</v>
      </c>
      <c r="V79" s="267">
        <v>2028</v>
      </c>
      <c r="W79" s="267">
        <v>2029</v>
      </c>
      <c r="X79" s="267">
        <v>2030</v>
      </c>
      <c r="Y79" s="267">
        <v>2031</v>
      </c>
      <c r="Z79" s="267">
        <v>2032</v>
      </c>
      <c r="AA79" s="267">
        <v>2033</v>
      </c>
      <c r="AB79" s="267">
        <v>2034</v>
      </c>
      <c r="AC79" s="267">
        <v>2035</v>
      </c>
      <c r="AD79" s="267">
        <v>2036</v>
      </c>
      <c r="AE79" s="267">
        <v>2037</v>
      </c>
      <c r="AF79" s="267">
        <v>2038</v>
      </c>
      <c r="AG79" s="267">
        <v>2039</v>
      </c>
      <c r="AH79" s="267">
        <v>2040</v>
      </c>
      <c r="AI79" s="267">
        <v>2041</v>
      </c>
      <c r="AJ79" s="267">
        <v>2042</v>
      </c>
      <c r="AK79" s="267">
        <v>2043</v>
      </c>
    </row>
    <row r="80" spans="3:37" x14ac:dyDescent="0.25">
      <c r="F80" s="243" t="s">
        <v>303</v>
      </c>
      <c r="G80" s="266">
        <f t="shared" ref="G80:AK80" si="165">G32+G57</f>
        <v>10463751.343599975</v>
      </c>
      <c r="H80" s="266">
        <f t="shared" si="165"/>
        <v>11745141.70703055</v>
      </c>
      <c r="I80" s="266">
        <f t="shared" si="165"/>
        <v>12251127.818107098</v>
      </c>
      <c r="J80" s="266">
        <f t="shared" si="165"/>
        <v>13521038.660074513</v>
      </c>
      <c r="K80" s="266">
        <f t="shared" si="165"/>
        <v>13993084.949131873</v>
      </c>
      <c r="L80" s="266">
        <f t="shared" si="165"/>
        <v>14823362.857463952</v>
      </c>
      <c r="M80" s="266">
        <f t="shared" si="165"/>
        <v>15239395.574116994</v>
      </c>
      <c r="N80" s="266">
        <f t="shared" si="165"/>
        <v>15668321.377182685</v>
      </c>
      <c r="O80" s="266">
        <f t="shared" si="165"/>
        <v>15995334.384138105</v>
      </c>
      <c r="P80" s="266">
        <f t="shared" si="165"/>
        <v>16323212.693948815</v>
      </c>
      <c r="Q80" s="266">
        <f t="shared" si="165"/>
        <v>16687170.683420938</v>
      </c>
      <c r="R80" s="266">
        <f t="shared" si="165"/>
        <v>17023608.368308745</v>
      </c>
      <c r="S80" s="266">
        <f t="shared" si="165"/>
        <v>17332963.32922662</v>
      </c>
      <c r="T80" s="266">
        <f t="shared" si="165"/>
        <v>17543087.384445399</v>
      </c>
      <c r="U80" s="266">
        <f t="shared" si="165"/>
        <v>17718130.843475573</v>
      </c>
      <c r="V80" s="266">
        <f t="shared" si="165"/>
        <v>17905045.730617169</v>
      </c>
      <c r="W80" s="266">
        <f t="shared" si="165"/>
        <v>18062429.916200567</v>
      </c>
      <c r="X80" s="266">
        <f t="shared" si="165"/>
        <v>18203156.592067838</v>
      </c>
      <c r="Y80" s="266">
        <f t="shared" si="165"/>
        <v>18281816.278137788</v>
      </c>
      <c r="Z80" s="266">
        <f t="shared" si="165"/>
        <v>18352054.99620419</v>
      </c>
      <c r="AA80" s="266">
        <f t="shared" si="165"/>
        <v>18564309.950201135</v>
      </c>
      <c r="AB80" s="266">
        <f t="shared" si="165"/>
        <v>18671413.973864257</v>
      </c>
      <c r="AC80" s="266">
        <f t="shared" si="165"/>
        <v>18759858.554802254</v>
      </c>
      <c r="AD80" s="266">
        <f t="shared" si="165"/>
        <v>18964471.360764764</v>
      </c>
      <c r="AE80" s="266">
        <f t="shared" si="165"/>
        <v>19206229.407527253</v>
      </c>
      <c r="AF80" s="266">
        <f t="shared" si="165"/>
        <v>20295475.503488347</v>
      </c>
      <c r="AG80" s="266">
        <f t="shared" si="165"/>
        <v>19478135.561462026</v>
      </c>
      <c r="AH80" s="266">
        <f t="shared" si="165"/>
        <v>19643380.077800684</v>
      </c>
      <c r="AI80" s="266">
        <f t="shared" si="165"/>
        <v>19812543.542902034</v>
      </c>
      <c r="AJ80" s="266">
        <f t="shared" si="165"/>
        <v>20032725.362455219</v>
      </c>
      <c r="AK80" s="266">
        <f t="shared" si="165"/>
        <v>20202863.839840341</v>
      </c>
    </row>
    <row r="82" spans="6:37" x14ac:dyDescent="0.25">
      <c r="F82" s="243" t="s">
        <v>520</v>
      </c>
      <c r="G82" s="222">
        <f t="shared" ref="G82:AK82" si="166">G14+G26+G43+G52</f>
        <v>5441150.6986719873</v>
      </c>
      <c r="H82" s="222">
        <f t="shared" si="166"/>
        <v>6111692.7516089389</v>
      </c>
      <c r="I82" s="222">
        <f t="shared" si="166"/>
        <v>6374868.2782579418</v>
      </c>
      <c r="J82" s="222">
        <f t="shared" si="166"/>
        <v>7035648.5312583921</v>
      </c>
      <c r="K82" s="222">
        <f t="shared" si="166"/>
        <v>7281129.8878589189</v>
      </c>
      <c r="L82" s="222">
        <f t="shared" si="166"/>
        <v>7713078.3573807813</v>
      </c>
      <c r="M82" s="222">
        <f t="shared" si="166"/>
        <v>7929477.6932768077</v>
      </c>
      <c r="N82" s="222">
        <f t="shared" si="166"/>
        <v>8308167.2954515098</v>
      </c>
      <c r="O82" s="222">
        <f t="shared" si="166"/>
        <v>8443621.3104461953</v>
      </c>
      <c r="P82" s="222">
        <f t="shared" si="166"/>
        <v>8572610.8572626505</v>
      </c>
      <c r="Q82" s="222">
        <f t="shared" si="166"/>
        <v>8717989.209783297</v>
      </c>
      <c r="R82" s="222">
        <f t="shared" si="166"/>
        <v>8853768.8999284673</v>
      </c>
      <c r="S82" s="222">
        <f t="shared" si="166"/>
        <v>9078835.6932188254</v>
      </c>
      <c r="T82" s="222">
        <f t="shared" si="166"/>
        <v>9187907.6996245682</v>
      </c>
      <c r="U82" s="222">
        <f t="shared" si="166"/>
        <v>9279133.9796809256</v>
      </c>
      <c r="V82" s="222">
        <f t="shared" si="166"/>
        <v>9376484.1372117288</v>
      </c>
      <c r="W82" s="222">
        <f t="shared" si="166"/>
        <v>9458834.3270030711</v>
      </c>
      <c r="X82" s="222">
        <f t="shared" si="166"/>
        <v>9356828.7686062101</v>
      </c>
      <c r="Y82" s="222">
        <f t="shared" si="166"/>
        <v>9397451.688923059</v>
      </c>
      <c r="Z82" s="222">
        <f t="shared" si="166"/>
        <v>9433035.3896286152</v>
      </c>
      <c r="AA82" s="222">
        <f t="shared" si="166"/>
        <v>9536325.1512597054</v>
      </c>
      <c r="AB82" s="222">
        <f t="shared" si="166"/>
        <v>9589329.8429218531</v>
      </c>
      <c r="AC82" s="222">
        <f t="shared" si="166"/>
        <v>9690447.4006128907</v>
      </c>
      <c r="AD82" s="222">
        <f t="shared" si="166"/>
        <v>9791086.7742377296</v>
      </c>
      <c r="AE82" s="222">
        <f t="shared" si="166"/>
        <v>9909694.9974435996</v>
      </c>
      <c r="AF82" s="222">
        <f t="shared" si="166"/>
        <v>10438467.84915648</v>
      </c>
      <c r="AG82" s="222">
        <f t="shared" si="166"/>
        <v>10044433.82274553</v>
      </c>
      <c r="AH82" s="222">
        <f t="shared" si="166"/>
        <v>10125951.787950307</v>
      </c>
      <c r="AI82" s="222">
        <f t="shared" si="166"/>
        <v>10209347.985597625</v>
      </c>
      <c r="AJ82" s="222">
        <f t="shared" si="166"/>
        <v>10316585.175315047</v>
      </c>
      <c r="AK82" s="222">
        <f t="shared" si="166"/>
        <v>10401478.722998917</v>
      </c>
    </row>
    <row r="83" spans="6:37" x14ac:dyDescent="0.25">
      <c r="G83" s="269"/>
    </row>
    <row r="84" spans="6:37" x14ac:dyDescent="0.25">
      <c r="F84" s="243" t="s">
        <v>521</v>
      </c>
      <c r="G84" s="174"/>
      <c r="H84" s="268">
        <f>(H82/G82)^(1/1)-1</f>
        <v>0.12323533937418962</v>
      </c>
      <c r="I84" s="268"/>
      <c r="J84" s="268"/>
      <c r="K84" s="268"/>
      <c r="L84" s="268"/>
      <c r="M84" s="268"/>
      <c r="N84" s="268">
        <f>(N82/I82)^(1/5)-1</f>
        <v>5.4403414163963104E-2</v>
      </c>
      <c r="O84" s="268"/>
      <c r="P84" s="268"/>
      <c r="Q84" s="268"/>
      <c r="R84" s="268"/>
      <c r="S84" s="268">
        <f>(S82/O82)^(1/4)-1</f>
        <v>1.829908205028552E-2</v>
      </c>
      <c r="T84" s="268"/>
      <c r="U84" s="268"/>
      <c r="V84" s="268"/>
      <c r="W84" s="268"/>
      <c r="X84" s="268">
        <f>(X82/T82)^(1/4)-1</f>
        <v>4.5649345340634806E-3</v>
      </c>
      <c r="Y84" s="268"/>
      <c r="Z84" s="268"/>
      <c r="AA84" s="268"/>
      <c r="AB84" s="268"/>
      <c r="AC84" s="268">
        <f>(AC82/Y82)^(1/4)-1</f>
        <v>7.7050423908358034E-3</v>
      </c>
      <c r="AD84" s="268"/>
      <c r="AE84" s="268"/>
      <c r="AF84" s="268"/>
      <c r="AG84" s="268"/>
      <c r="AH84" s="268"/>
      <c r="AI84" s="268"/>
      <c r="AJ84" s="268"/>
      <c r="AK84" s="268">
        <f>(AK82/AC82)^(1/8)-1</f>
        <v>8.8902083294213341E-3</v>
      </c>
    </row>
    <row r="85" spans="6:37" x14ac:dyDescent="0.25">
      <c r="G85" s="266"/>
    </row>
    <row r="86" spans="6:37" x14ac:dyDescent="0.25">
      <c r="G86" s="266"/>
    </row>
    <row r="87" spans="6:37" x14ac:dyDescent="0.25">
      <c r="H87" s="184"/>
    </row>
    <row r="88" spans="6:37" x14ac:dyDescent="0.25">
      <c r="F88" s="243" t="s">
        <v>522</v>
      </c>
      <c r="G88" s="184">
        <f t="shared" ref="G88:AK88" si="167">G30+G56</f>
        <v>2563619.0791819938</v>
      </c>
      <c r="H88" s="184">
        <f t="shared" si="167"/>
        <v>2877559.7182224845</v>
      </c>
      <c r="I88" s="184">
        <f t="shared" si="167"/>
        <v>3001526.3154362384</v>
      </c>
      <c r="J88" s="184">
        <f t="shared" si="167"/>
        <v>3312654.4717182554</v>
      </c>
      <c r="K88" s="184">
        <f t="shared" si="167"/>
        <v>3428305.8125373088</v>
      </c>
      <c r="L88" s="184">
        <f t="shared" si="167"/>
        <v>3631723.9000786678</v>
      </c>
      <c r="M88" s="184">
        <f t="shared" si="167"/>
        <v>3733651.9156586626</v>
      </c>
      <c r="N88" s="184">
        <f t="shared" si="167"/>
        <v>3552059.9635412246</v>
      </c>
      <c r="O88" s="184">
        <f t="shared" si="167"/>
        <v>3628114.0832534409</v>
      </c>
      <c r="P88" s="184">
        <f t="shared" si="167"/>
        <v>3705226.3902981365</v>
      </c>
      <c r="Q88" s="184">
        <f t="shared" si="167"/>
        <v>3790548.4593346287</v>
      </c>
      <c r="R88" s="184">
        <f t="shared" si="167"/>
        <v>3869243.9088996034</v>
      </c>
      <c r="S88" s="184">
        <f t="shared" si="167"/>
        <v>3518591.5558330035</v>
      </c>
      <c r="T88" s="184">
        <f t="shared" si="167"/>
        <v>3561246.7390424157</v>
      </c>
      <c r="U88" s="184">
        <f t="shared" si="167"/>
        <v>3596780.5612255409</v>
      </c>
      <c r="V88" s="184">
        <f t="shared" si="167"/>
        <v>3634724.2833152851</v>
      </c>
      <c r="W88" s="184">
        <f t="shared" si="167"/>
        <v>3666673.2729887143</v>
      </c>
      <c r="X88" s="184">
        <f t="shared" si="167"/>
        <v>3312974.4997563465</v>
      </c>
      <c r="Y88" s="184">
        <f t="shared" si="167"/>
        <v>3327290.5626210771</v>
      </c>
      <c r="Z88" s="184">
        <f t="shared" si="167"/>
        <v>3340074.0093091633</v>
      </c>
      <c r="AA88" s="184">
        <f t="shared" si="167"/>
        <v>3378704.4109366061</v>
      </c>
      <c r="AB88" s="184">
        <f t="shared" si="167"/>
        <v>3398197.3432432953</v>
      </c>
      <c r="AC88" s="184">
        <f t="shared" si="167"/>
        <v>3151656.2372067785</v>
      </c>
      <c r="AD88" s="184">
        <f t="shared" si="167"/>
        <v>3186031.1886084806</v>
      </c>
      <c r="AE88" s="184">
        <f t="shared" si="167"/>
        <v>3226646.5404645777</v>
      </c>
      <c r="AF88" s="184">
        <f t="shared" si="167"/>
        <v>3409639.8845860418</v>
      </c>
      <c r="AG88" s="184">
        <f t="shared" si="167"/>
        <v>3272326.7743256204</v>
      </c>
      <c r="AH88" s="184">
        <f t="shared" si="167"/>
        <v>3300087.8530705152</v>
      </c>
      <c r="AI88" s="184">
        <f t="shared" si="167"/>
        <v>2912443.9008065984</v>
      </c>
      <c r="AJ88" s="184">
        <f t="shared" si="167"/>
        <v>2944810.6282809172</v>
      </c>
      <c r="AK88" s="184">
        <f t="shared" si="167"/>
        <v>2969820.9844565298</v>
      </c>
    </row>
    <row r="90" spans="6:37" x14ac:dyDescent="0.25">
      <c r="H90" s="270">
        <f>(H88/G88)^(1/1)-1</f>
        <v>0.12245994016422435</v>
      </c>
      <c r="I90" s="270"/>
      <c r="J90" s="270"/>
      <c r="K90" s="270"/>
      <c r="L90" s="270"/>
      <c r="M90" s="270"/>
      <c r="N90" s="270">
        <f>(N88/I88)^(1/5)-1</f>
        <v>3.4254994140212158E-2</v>
      </c>
      <c r="O90" s="270"/>
      <c r="P90" s="270"/>
      <c r="Q90" s="270"/>
      <c r="R90" s="270"/>
      <c r="S90" s="270">
        <f>(S88/N88)^(1/5)-1</f>
        <v>-1.8915933301455468E-3</v>
      </c>
      <c r="T90" s="270"/>
      <c r="U90" s="270"/>
      <c r="V90" s="270"/>
      <c r="W90" s="270"/>
      <c r="X90" s="270">
        <f t="shared" ref="X90" si="168">(X88/S88)^(1/5)-1</f>
        <v>-1.1970646265712315E-2</v>
      </c>
      <c r="Y90" s="270"/>
      <c r="Z90" s="270"/>
      <c r="AA90" s="270"/>
      <c r="AB90" s="270"/>
      <c r="AC90" s="270">
        <f t="shared" ref="AC90" si="169">(AC88/X88)^(1/5)-1</f>
        <v>-9.9339930636599405E-3</v>
      </c>
      <c r="AD90" s="270"/>
      <c r="AE90" s="270"/>
      <c r="AF90" s="270"/>
      <c r="AG90" s="270"/>
      <c r="AH90" s="270"/>
      <c r="AI90" s="270"/>
      <c r="AJ90" s="270"/>
      <c r="AK90" s="270">
        <f>(AK88/AC88)^(1/8)-1</f>
        <v>-7.4007818227507238E-3</v>
      </c>
    </row>
    <row r="92" spans="6:37" x14ac:dyDescent="0.25">
      <c r="F92" s="243" t="s">
        <v>523</v>
      </c>
      <c r="G92" s="184">
        <f t="shared" ref="G92:AK92" si="170">G27+G53</f>
        <v>952201.37226759782</v>
      </c>
      <c r="H92" s="184">
        <f t="shared" si="170"/>
        <v>1068807.89533978</v>
      </c>
      <c r="I92" s="184">
        <f t="shared" si="170"/>
        <v>1114852.6314477457</v>
      </c>
      <c r="J92" s="184">
        <f t="shared" si="170"/>
        <v>1230414.5180667806</v>
      </c>
      <c r="K92" s="184">
        <f t="shared" si="170"/>
        <v>1273370.7303710002</v>
      </c>
      <c r="L92" s="184">
        <f t="shared" si="170"/>
        <v>1348926.0200292196</v>
      </c>
      <c r="M92" s="184">
        <f t="shared" si="170"/>
        <v>1386784.9972446463</v>
      </c>
      <c r="N92" s="184">
        <f t="shared" si="170"/>
        <v>1543817.594809127</v>
      </c>
      <c r="O92" s="184">
        <f t="shared" si="170"/>
        <v>1574759.0957375197</v>
      </c>
      <c r="P92" s="184">
        <f t="shared" si="170"/>
        <v>1605211.1757237962</v>
      </c>
      <c r="Q92" s="184">
        <f t="shared" si="170"/>
        <v>1639197.9744043411</v>
      </c>
      <c r="R92" s="184">
        <f t="shared" si="170"/>
        <v>1670731.6166880135</v>
      </c>
      <c r="S92" s="184">
        <f t="shared" si="170"/>
        <v>2062622.6361779678</v>
      </c>
      <c r="T92" s="184">
        <f t="shared" si="170"/>
        <v>2087627.3987490027</v>
      </c>
      <c r="U92" s="184">
        <f t="shared" si="170"/>
        <v>2108457.5703735929</v>
      </c>
      <c r="V92" s="184">
        <f t="shared" si="170"/>
        <v>2130700.4419434434</v>
      </c>
      <c r="W92" s="184">
        <f t="shared" si="170"/>
        <v>2149429.1600278672</v>
      </c>
      <c r="X92" s="184">
        <f t="shared" si="170"/>
        <v>2421019.8267450226</v>
      </c>
      <c r="Y92" s="184">
        <f t="shared" si="170"/>
        <v>2431481.5649923254</v>
      </c>
      <c r="Z92" s="184">
        <f t="shared" si="170"/>
        <v>2440823.3144951575</v>
      </c>
      <c r="AA92" s="184">
        <f t="shared" si="170"/>
        <v>2469053.2233767509</v>
      </c>
      <c r="AB92" s="184">
        <f t="shared" si="170"/>
        <v>2483298.0585239464</v>
      </c>
      <c r="AC92" s="184">
        <f t="shared" si="170"/>
        <v>2757699.2075559311</v>
      </c>
      <c r="AD92" s="184">
        <f t="shared" si="170"/>
        <v>2787777.2900324203</v>
      </c>
      <c r="AE92" s="184">
        <f t="shared" si="170"/>
        <v>2823315.7229065057</v>
      </c>
      <c r="AF92" s="184">
        <f t="shared" si="170"/>
        <v>2983434.8990127863</v>
      </c>
      <c r="AG92" s="184">
        <f t="shared" si="170"/>
        <v>2863285.9275349174</v>
      </c>
      <c r="AH92" s="184">
        <f t="shared" si="170"/>
        <v>2887576.8714367002</v>
      </c>
      <c r="AI92" s="184">
        <f t="shared" si="170"/>
        <v>3328507.315207541</v>
      </c>
      <c r="AJ92" s="184">
        <f t="shared" si="170"/>
        <v>3365497.8608924765</v>
      </c>
      <c r="AK92" s="184">
        <f t="shared" si="170"/>
        <v>3394081.125093177</v>
      </c>
    </row>
    <row r="94" spans="6:37" x14ac:dyDescent="0.25">
      <c r="H94" s="268">
        <f>(H92/G92)^(1/1)-1</f>
        <v>0.12245994016422412</v>
      </c>
    </row>
    <row r="95" spans="6:37" x14ac:dyDescent="0.25">
      <c r="N95" s="268">
        <f>(N92/H92)^(1/6)-1</f>
        <v>6.3202662462671144E-2</v>
      </c>
      <c r="O95" s="268"/>
      <c r="P95" s="268"/>
      <c r="Q95" s="268"/>
      <c r="R95" s="268"/>
      <c r="S95" s="268">
        <f>(S92/N92)^(1/5)-1</f>
        <v>5.965565139875828E-2</v>
      </c>
      <c r="T95" s="268"/>
      <c r="U95" s="268"/>
      <c r="V95" s="268"/>
      <c r="W95" s="268"/>
      <c r="X95" s="268">
        <f>(X92/S92)^(1/5)-1</f>
        <v>3.2560989659685902E-2</v>
      </c>
      <c r="Y95" s="268"/>
      <c r="Z95" s="268"/>
      <c r="AA95" s="268"/>
      <c r="AB95" s="268"/>
      <c r="AC95" s="268">
        <f>(AC92/X92)^(1/5)-1</f>
        <v>2.6383613166033326E-2</v>
      </c>
      <c r="AE95" s="268"/>
      <c r="AF95" s="268"/>
      <c r="AG95" s="268"/>
      <c r="AH95" s="268"/>
      <c r="AI95" s="268"/>
      <c r="AJ95" s="268"/>
      <c r="AK95" s="268">
        <f>(AK92/AC92)^(1/8)-1</f>
        <v>2.6294296873028422E-2</v>
      </c>
    </row>
  </sheetData>
  <mergeCells count="68">
    <mergeCell ref="AJ10:AJ11"/>
    <mergeCell ref="AK10:AK11"/>
    <mergeCell ref="M10:M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Y10:Y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AF10:AF11"/>
    <mergeCell ref="AG10:AG11"/>
    <mergeCell ref="AH10:AH11"/>
    <mergeCell ref="AI10:AI11"/>
    <mergeCell ref="Z10:Z11"/>
    <mergeCell ref="AA10:AA11"/>
    <mergeCell ref="AB10:AB11"/>
    <mergeCell ref="AC10:AC11"/>
    <mergeCell ref="AD10:AD11"/>
    <mergeCell ref="AE10:AE11"/>
    <mergeCell ref="AI2:AI3"/>
    <mergeCell ref="B7:C7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AA2:AA3"/>
    <mergeCell ref="AB2:AB3"/>
    <mergeCell ref="B8:C8"/>
    <mergeCell ref="B2:C3"/>
    <mergeCell ref="AF2:AF3"/>
    <mergeCell ref="AG2:AG3"/>
    <mergeCell ref="AH2:AH3"/>
    <mergeCell ref="AC2:AC3"/>
    <mergeCell ref="AD2:AD3"/>
    <mergeCell ref="AE2:AE3"/>
    <mergeCell ref="V2:V3"/>
    <mergeCell ref="W2:W3"/>
    <mergeCell ref="X2:X3"/>
    <mergeCell ref="Y2:Y3"/>
    <mergeCell ref="Z2:Z3"/>
    <mergeCell ref="S2:S3"/>
    <mergeCell ref="T2:T3"/>
    <mergeCell ref="U2:U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48944C-EDE0-4C75-A657-DE608A1B1B34}"/>
</file>

<file path=customXml/itemProps2.xml><?xml version="1.0" encoding="utf-8"?>
<ds:datastoreItem xmlns:ds="http://schemas.openxmlformats.org/officeDocument/2006/customXml" ds:itemID="{569DD039-10BB-4DA6-9A6D-789C10616B79}"/>
</file>

<file path=customXml/itemProps3.xml><?xml version="1.0" encoding="utf-8"?>
<ds:datastoreItem xmlns:ds="http://schemas.openxmlformats.org/officeDocument/2006/customXml" ds:itemID="{6ABEC30E-4C01-4AA6-B2E6-8E49F0E3F2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Ipoteze</vt:lpstr>
      <vt:lpstr>Indice Inflatie-COVASNA</vt:lpstr>
      <vt:lpstr>7.3.1</vt:lpstr>
      <vt:lpstr>prognoze cantitati</vt:lpstr>
      <vt:lpstr>6,3,1</vt:lpstr>
      <vt:lpstr>Investitii-constante</vt:lpstr>
      <vt:lpstr>Investitii-curente</vt:lpstr>
      <vt:lpstr>Investitii-curente-old</vt:lpstr>
      <vt:lpstr>O&amp;M costs-old</vt:lpstr>
      <vt:lpstr>DPC</vt:lpstr>
      <vt:lpstr>DPC_rur</vt:lpstr>
      <vt:lpstr>DPC_urb</vt:lpstr>
      <vt:lpstr>O&amp;M costs </vt:lpstr>
      <vt:lpstr>Sheet1</vt:lpstr>
      <vt:lpstr>'O&amp;M costs '!pierderi</vt:lpstr>
      <vt:lpstr>pierderi</vt:lpstr>
      <vt:lpstr>'6,3,1'!Print_Area</vt:lpstr>
      <vt:lpstr>'7.3.1'!Print_Area</vt:lpstr>
      <vt:lpstr>'7.3.1'!Print_Titles</vt:lpstr>
      <vt:lpstr>DPC_rur!rata</vt:lpstr>
      <vt:lpstr>DPC_urb!rata</vt:lpstr>
      <vt:lpstr>rata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</dc:creator>
  <cp:lastModifiedBy>IB</cp:lastModifiedBy>
  <cp:lastPrinted>2020-03-16T15:08:03Z</cp:lastPrinted>
  <dcterms:created xsi:type="dcterms:W3CDTF">2012-07-03T13:50:55Z</dcterms:created>
  <dcterms:modified xsi:type="dcterms:W3CDTF">2020-05-12T10:47:14Z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