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OIM ATMP\COVASNA\Prognoza MP\Porognoze si indicatori\"/>
    </mc:Choice>
  </mc:AlternateContent>
  <xr:revisionPtr revIDLastSave="0" documentId="13_ncr:1_{BDB107A3-CB07-4951-88AF-0AA9306DE252}" xr6:coauthVersionLast="45" xr6:coauthVersionMax="45" xr10:uidLastSave="{00000000-0000-0000-0000-000000000000}"/>
  <bookViews>
    <workbookView xWindow="-120" yWindow="-120" windowWidth="20730" windowHeight="11760" tabRatio="799" xr2:uid="{00000000-000D-0000-FFFF-FFFF00000000}"/>
  </bookViews>
  <sheets>
    <sheet name="Prognoza Apa" sheetId="59" r:id="rId1"/>
    <sheet name="Prognoza BA" sheetId="86" r:id="rId2"/>
    <sheet name="IP" sheetId="88" r:id="rId3"/>
    <sheet name="PIB + FE" sheetId="85" r:id="rId4"/>
    <sheet name="Foaie1" sheetId="53" r:id="rId5"/>
  </sheets>
  <externalReferences>
    <externalReference r:id="rId6"/>
    <externalReference r:id="rId7"/>
    <externalReference r:id="rId8"/>
  </externalReferenc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5" i="86" l="1"/>
  <c r="L12" i="88"/>
  <c r="E8" i="59"/>
  <c r="F8" i="59"/>
  <c r="G8" i="59"/>
  <c r="H8" i="59"/>
  <c r="I8" i="59"/>
  <c r="J8" i="59"/>
  <c r="K8" i="59"/>
  <c r="L8" i="59"/>
  <c r="M8" i="59"/>
  <c r="N8" i="59"/>
  <c r="O8" i="59"/>
  <c r="P8" i="59"/>
  <c r="Q8" i="59"/>
  <c r="R8" i="59"/>
  <c r="S8" i="59"/>
  <c r="T8" i="59"/>
  <c r="U8" i="59"/>
  <c r="V8" i="59"/>
  <c r="W8" i="59"/>
  <c r="X8" i="59"/>
  <c r="Y8" i="59"/>
  <c r="Z8" i="59"/>
  <c r="AA8" i="59"/>
  <c r="AB8" i="59"/>
  <c r="AC8" i="59"/>
  <c r="AD8" i="59"/>
  <c r="AE8" i="59"/>
  <c r="AF8" i="59"/>
  <c r="AG8" i="59"/>
  <c r="AH8" i="59"/>
  <c r="D8" i="59"/>
  <c r="F14" i="88"/>
  <c r="F13" i="88"/>
  <c r="F12" i="88"/>
  <c r="F15" i="86"/>
  <c r="F14" i="86"/>
  <c r="F13" i="86"/>
  <c r="F12" i="86"/>
  <c r="F11" i="86"/>
  <c r="F10" i="86"/>
  <c r="F9" i="86"/>
  <c r="F8" i="86"/>
  <c r="F7" i="86"/>
  <c r="F6" i="86"/>
  <c r="F5" i="86"/>
  <c r="F4" i="86"/>
  <c r="D20" i="59"/>
  <c r="D14" i="59"/>
  <c r="D13" i="59"/>
  <c r="B7" i="59"/>
  <c r="S12" i="59" l="1"/>
  <c r="T12" i="59" s="1"/>
  <c r="U12" i="59" s="1"/>
  <c r="V12" i="59" s="1"/>
  <c r="W12" i="59" s="1"/>
  <c r="X12" i="59" s="1"/>
  <c r="Y12" i="59" s="1"/>
  <c r="Z12" i="59" s="1"/>
  <c r="AA12" i="59" s="1"/>
  <c r="AB12" i="59" s="1"/>
  <c r="AC12" i="59" s="1"/>
  <c r="AD12" i="59" s="1"/>
  <c r="AE12" i="59" s="1"/>
  <c r="AF12" i="59" s="1"/>
  <c r="AG12" i="59" s="1"/>
  <c r="R12" i="59"/>
  <c r="AH12" i="59"/>
  <c r="K12" i="59"/>
  <c r="L12" i="59" s="1"/>
  <c r="M12" i="59" s="1"/>
  <c r="N12" i="59" s="1"/>
  <c r="O12" i="59" s="1"/>
  <c r="P12" i="59" s="1"/>
  <c r="E14" i="59" l="1"/>
  <c r="F14" i="59" s="1"/>
  <c r="G14" i="59" s="1"/>
  <c r="H14" i="59" s="1"/>
  <c r="I14" i="59" s="1"/>
  <c r="J14" i="59" s="1"/>
  <c r="K14" i="59" s="1"/>
  <c r="L14" i="59" s="1"/>
  <c r="M14" i="59" s="1"/>
  <c r="N14" i="59" s="1"/>
  <c r="O14" i="59" s="1"/>
  <c r="P14" i="59" s="1"/>
  <c r="Q14" i="59" s="1"/>
  <c r="R14" i="59" s="1"/>
  <c r="S14" i="59" s="1"/>
  <c r="T14" i="59" s="1"/>
  <c r="U14" i="59" s="1"/>
  <c r="V14" i="59" s="1"/>
  <c r="W14" i="59" s="1"/>
  <c r="X14" i="59" s="1"/>
  <c r="Y14" i="59" s="1"/>
  <c r="Z14" i="59" s="1"/>
  <c r="AA14" i="59" s="1"/>
  <c r="AB14" i="59" s="1"/>
  <c r="AC14" i="59" s="1"/>
  <c r="AD14" i="59" s="1"/>
  <c r="AE14" i="59" s="1"/>
  <c r="AF14" i="59" s="1"/>
  <c r="AG14" i="59" s="1"/>
  <c r="AH14" i="59" s="1"/>
  <c r="G15" i="86" l="1"/>
  <c r="H15" i="86" s="1"/>
  <c r="I15" i="86" s="1"/>
  <c r="J15" i="86" s="1"/>
  <c r="K15" i="86" s="1"/>
  <c r="F22" i="59" l="1"/>
  <c r="G22" i="59" s="1"/>
  <c r="H22" i="59" s="1"/>
  <c r="I22" i="59" s="1"/>
  <c r="J22" i="59" s="1"/>
  <c r="K22" i="59" s="1"/>
  <c r="L22" i="59" s="1"/>
  <c r="M22" i="59" s="1"/>
  <c r="N22" i="59" s="1"/>
  <c r="O22" i="59" s="1"/>
  <c r="P22" i="59" s="1"/>
  <c r="Q22" i="59" s="1"/>
  <c r="R22" i="59" s="1"/>
  <c r="S22" i="59" s="1"/>
  <c r="T22" i="59" s="1"/>
  <c r="U22" i="59" s="1"/>
  <c r="V22" i="59" s="1"/>
  <c r="W22" i="59" s="1"/>
  <c r="X22" i="59" s="1"/>
  <c r="Y22" i="59" s="1"/>
  <c r="Z22" i="59" s="1"/>
  <c r="AA22" i="59" s="1"/>
  <c r="AB22" i="59" s="1"/>
  <c r="AC22" i="59" s="1"/>
  <c r="AD22" i="59" s="1"/>
  <c r="AE22" i="59" s="1"/>
  <c r="AF22" i="59" s="1"/>
  <c r="AG22" i="59" s="1"/>
  <c r="AH22" i="59" s="1"/>
  <c r="E22" i="59"/>
  <c r="A2" i="88" l="1"/>
  <c r="A2" i="86"/>
  <c r="B2" i="88"/>
  <c r="B2" i="86" l="1"/>
  <c r="G15" i="88"/>
  <c r="H15" i="88" s="1"/>
  <c r="I15" i="88" s="1"/>
  <c r="J15" i="88" s="1"/>
  <c r="K15" i="88" s="1"/>
  <c r="L15" i="88" s="1"/>
  <c r="M15" i="88" s="1"/>
  <c r="N15" i="88" s="1"/>
  <c r="O15" i="88" s="1"/>
  <c r="P15" i="88" s="1"/>
  <c r="Q15" i="88" s="1"/>
  <c r="R15" i="88" s="1"/>
  <c r="S15" i="88" s="1"/>
  <c r="T15" i="88" s="1"/>
  <c r="U15" i="88" s="1"/>
  <c r="V15" i="88" s="1"/>
  <c r="W15" i="88" s="1"/>
  <c r="X15" i="88" s="1"/>
  <c r="Y15" i="88" s="1"/>
  <c r="Z15" i="88" s="1"/>
  <c r="AA15" i="88" s="1"/>
  <c r="AB15" i="88" s="1"/>
  <c r="AC15" i="88" s="1"/>
  <c r="AD15" i="88" s="1"/>
  <c r="AE15" i="88" s="1"/>
  <c r="AF15" i="88" s="1"/>
  <c r="AG15" i="88" s="1"/>
  <c r="AH15" i="88" s="1"/>
  <c r="AI15" i="88" s="1"/>
  <c r="AJ15" i="88" s="1"/>
  <c r="G14" i="88"/>
  <c r="H14" i="88" s="1"/>
  <c r="G12" i="88"/>
  <c r="H12" i="88" s="1"/>
  <c r="F4" i="88"/>
  <c r="I14" i="88" l="1"/>
  <c r="J14" i="88" s="1"/>
  <c r="K14" i="88" s="1"/>
  <c r="L14" i="88" s="1"/>
  <c r="M14" i="88" s="1"/>
  <c r="N14" i="88" s="1"/>
  <c r="O14" i="88" s="1"/>
  <c r="P14" i="88" s="1"/>
  <c r="Q14" i="88" s="1"/>
  <c r="R14" i="88" s="1"/>
  <c r="S14" i="88" s="1"/>
  <c r="T14" i="88" s="1"/>
  <c r="U14" i="88" s="1"/>
  <c r="V14" i="88" s="1"/>
  <c r="W14" i="88" s="1"/>
  <c r="X14" i="88" s="1"/>
  <c r="Y14" i="88" s="1"/>
  <c r="Z14" i="88" s="1"/>
  <c r="AA14" i="88" s="1"/>
  <c r="AB14" i="88" s="1"/>
  <c r="AC14" i="88" s="1"/>
  <c r="AD14" i="88" s="1"/>
  <c r="AE14" i="88" s="1"/>
  <c r="AF14" i="88" s="1"/>
  <c r="AG14" i="88" s="1"/>
  <c r="AH14" i="88" s="1"/>
  <c r="AI14" i="88" s="1"/>
  <c r="AJ14" i="88" s="1"/>
  <c r="I12" i="88"/>
  <c r="G17" i="86"/>
  <c r="H17" i="86" s="1"/>
  <c r="I17" i="86" s="1"/>
  <c r="J17" i="86" s="1"/>
  <c r="K17" i="86" s="1"/>
  <c r="L17" i="86" s="1"/>
  <c r="M17" i="86" s="1"/>
  <c r="N17" i="86" s="1"/>
  <c r="O17" i="86" s="1"/>
  <c r="P17" i="86" s="1"/>
  <c r="Q17" i="86" s="1"/>
  <c r="R17" i="86" s="1"/>
  <c r="S17" i="86" s="1"/>
  <c r="T17" i="86" s="1"/>
  <c r="U17" i="86" s="1"/>
  <c r="V17" i="86" s="1"/>
  <c r="W17" i="86" s="1"/>
  <c r="X17" i="86" s="1"/>
  <c r="Y17" i="86" s="1"/>
  <c r="Z17" i="86" s="1"/>
  <c r="AA17" i="86" s="1"/>
  <c r="AB17" i="86" s="1"/>
  <c r="AC17" i="86" s="1"/>
  <c r="AD17" i="86" s="1"/>
  <c r="AE17" i="86" s="1"/>
  <c r="AF17" i="86" s="1"/>
  <c r="AG17" i="86" s="1"/>
  <c r="AH17" i="86" s="1"/>
  <c r="AI17" i="86" s="1"/>
  <c r="AJ17" i="86" s="1"/>
  <c r="G13" i="86"/>
  <c r="H13" i="86" s="1"/>
  <c r="I13" i="86" s="1"/>
  <c r="J13" i="86" s="1"/>
  <c r="F3" i="86"/>
  <c r="F3" i="88" s="1"/>
  <c r="F5" i="88" s="1"/>
  <c r="G10" i="86"/>
  <c r="H10" i="86" s="1"/>
  <c r="I10" i="86" s="1"/>
  <c r="J10" i="86" s="1"/>
  <c r="K10" i="86" s="1"/>
  <c r="L10" i="86" s="1"/>
  <c r="M10" i="86" s="1"/>
  <c r="N10" i="86" s="1"/>
  <c r="O10" i="86" s="1"/>
  <c r="P10" i="86" s="1"/>
  <c r="Q10" i="86" s="1"/>
  <c r="R10" i="86" s="1"/>
  <c r="S10" i="86" s="1"/>
  <c r="T10" i="86" s="1"/>
  <c r="U10" i="86" s="1"/>
  <c r="V10" i="86" s="1"/>
  <c r="W10" i="86" s="1"/>
  <c r="X10" i="86" s="1"/>
  <c r="Y10" i="86" s="1"/>
  <c r="Z10" i="86" s="1"/>
  <c r="AA10" i="86" s="1"/>
  <c r="AB10" i="86" s="1"/>
  <c r="AC10" i="86" s="1"/>
  <c r="AD10" i="86" s="1"/>
  <c r="AE10" i="86" s="1"/>
  <c r="AF10" i="86" s="1"/>
  <c r="AG10" i="86" s="1"/>
  <c r="AH10" i="86" s="1"/>
  <c r="AI10" i="86" s="1"/>
  <c r="AJ10" i="86" s="1"/>
  <c r="H7" i="86"/>
  <c r="I7" i="86" s="1"/>
  <c r="J7" i="86" s="1"/>
  <c r="K7" i="86" s="1"/>
  <c r="L7" i="86" s="1"/>
  <c r="M7" i="86" s="1"/>
  <c r="N7" i="86" s="1"/>
  <c r="O7" i="86" s="1"/>
  <c r="P7" i="86" s="1"/>
  <c r="Q7" i="86" s="1"/>
  <c r="R7" i="86" s="1"/>
  <c r="S7" i="86" s="1"/>
  <c r="T7" i="86" s="1"/>
  <c r="U7" i="86" s="1"/>
  <c r="V7" i="86" s="1"/>
  <c r="W7" i="86" s="1"/>
  <c r="X7" i="86" s="1"/>
  <c r="Y7" i="86" s="1"/>
  <c r="Z7" i="86" s="1"/>
  <c r="AA7" i="86" s="1"/>
  <c r="AB7" i="86" s="1"/>
  <c r="AC7" i="86" s="1"/>
  <c r="AD7" i="86" s="1"/>
  <c r="AE7" i="86" s="1"/>
  <c r="AF7" i="86" s="1"/>
  <c r="AG7" i="86" s="1"/>
  <c r="AH7" i="86" s="1"/>
  <c r="AI7" i="86" s="1"/>
  <c r="AJ7" i="86" s="1"/>
  <c r="F6" i="88" l="1"/>
  <c r="J12" i="88"/>
  <c r="G11" i="86"/>
  <c r="G9" i="86" s="1"/>
  <c r="D18" i="59"/>
  <c r="K13" i="86"/>
  <c r="L13" i="86" s="1"/>
  <c r="M13" i="86" s="1"/>
  <c r="N13" i="86" s="1"/>
  <c r="O13" i="86" s="1"/>
  <c r="P13" i="86" s="1"/>
  <c r="Q13" i="86" s="1"/>
  <c r="R13" i="86" s="1"/>
  <c r="S13" i="86" s="1"/>
  <c r="T13" i="86" s="1"/>
  <c r="U13" i="86" s="1"/>
  <c r="V13" i="86" s="1"/>
  <c r="W13" i="86" s="1"/>
  <c r="X13" i="86" s="1"/>
  <c r="Y13" i="86" s="1"/>
  <c r="Z13" i="86" s="1"/>
  <c r="AA13" i="86" s="1"/>
  <c r="AB13" i="86" s="1"/>
  <c r="AC13" i="86" s="1"/>
  <c r="AD13" i="86" s="1"/>
  <c r="AE13" i="86" s="1"/>
  <c r="AF13" i="86" s="1"/>
  <c r="AG13" i="86" s="1"/>
  <c r="AH13" i="86" s="1"/>
  <c r="AI13" i="86" s="1"/>
  <c r="AJ13" i="86" s="1"/>
  <c r="E20" i="59" l="1"/>
  <c r="F9" i="88"/>
  <c r="F7" i="88"/>
  <c r="H11" i="86"/>
  <c r="G6" i="88"/>
  <c r="K12" i="88"/>
  <c r="K27" i="59"/>
  <c r="L13" i="88" l="1"/>
  <c r="G9" i="88"/>
  <c r="H6" i="88"/>
  <c r="I11" i="86"/>
  <c r="H9" i="86"/>
  <c r="K9" i="59"/>
  <c r="F20" i="59" l="1"/>
  <c r="H9" i="88"/>
  <c r="I9" i="86"/>
  <c r="I6" i="88"/>
  <c r="M12" i="88"/>
  <c r="G20" i="59" l="1"/>
  <c r="I9" i="88"/>
  <c r="J6" i="88"/>
  <c r="J11" i="86"/>
  <c r="N12" i="88"/>
  <c r="M5" i="85"/>
  <c r="K11" i="86" l="1"/>
  <c r="J9" i="86"/>
  <c r="N5" i="85"/>
  <c r="O5" i="85" s="1"/>
  <c r="P5" i="85" s="1"/>
  <c r="Q5" i="85" s="1"/>
  <c r="R5" i="85" s="1"/>
  <c r="S5" i="85" s="1"/>
  <c r="T5" i="85" s="1"/>
  <c r="U5" i="85" s="1"/>
  <c r="V5" i="85" s="1"/>
  <c r="W5" i="85" s="1"/>
  <c r="X5" i="85" s="1"/>
  <c r="Y5" i="85" s="1"/>
  <c r="Z5" i="85" s="1"/>
  <c r="AA5" i="85" s="1"/>
  <c r="AB5" i="85" s="1"/>
  <c r="AC5" i="85" s="1"/>
  <c r="AD5" i="85" s="1"/>
  <c r="AE5" i="85" s="1"/>
  <c r="AF5" i="85" s="1"/>
  <c r="AG5" i="85" s="1"/>
  <c r="AH5" i="85" s="1"/>
  <c r="AI5" i="85" s="1"/>
  <c r="AJ5" i="85" s="1"/>
  <c r="AK5" i="85" s="1"/>
  <c r="AL5" i="85" s="1"/>
  <c r="AM5" i="85" s="1"/>
  <c r="AN5" i="85" s="1"/>
  <c r="AO5" i="85" s="1"/>
  <c r="AP5" i="85" s="1"/>
  <c r="J9" i="88"/>
  <c r="K6" i="88"/>
  <c r="O12" i="88"/>
  <c r="H20" i="59" l="1"/>
  <c r="K9" i="86"/>
  <c r="K9" i="88"/>
  <c r="P12" i="88"/>
  <c r="E9" i="59"/>
  <c r="F9" i="59" s="1"/>
  <c r="G9" i="59" s="1"/>
  <c r="H9" i="59" s="1"/>
  <c r="I9" i="59" s="1"/>
  <c r="I20" i="59" l="1"/>
  <c r="Q12" i="88"/>
  <c r="L9" i="59"/>
  <c r="M9" i="59" s="1"/>
  <c r="N9" i="59" s="1"/>
  <c r="O9" i="59" s="1"/>
  <c r="P9" i="59" s="1"/>
  <c r="Q9" i="59" s="1"/>
  <c r="R9" i="59" s="1"/>
  <c r="S9" i="59" s="1"/>
  <c r="T9" i="59" s="1"/>
  <c r="U9" i="59" s="1"/>
  <c r="V9" i="59" s="1"/>
  <c r="W9" i="59" s="1"/>
  <c r="X9" i="59" s="1"/>
  <c r="Y9" i="59" s="1"/>
  <c r="Z9" i="59" s="1"/>
  <c r="AA9" i="59" s="1"/>
  <c r="AB9" i="59" s="1"/>
  <c r="AC9" i="59" s="1"/>
  <c r="AD9" i="59" s="1"/>
  <c r="AE9" i="59" s="1"/>
  <c r="AF9" i="59" s="1"/>
  <c r="AG9" i="59" s="1"/>
  <c r="AH9" i="59" s="1"/>
  <c r="R12" i="88" l="1"/>
  <c r="S12" i="88" l="1"/>
  <c r="E11" i="59"/>
  <c r="F11" i="59"/>
  <c r="G11" i="59"/>
  <c r="H11" i="59"/>
  <c r="I11" i="59"/>
  <c r="J11" i="59"/>
  <c r="J13" i="59" s="1"/>
  <c r="K11" i="59"/>
  <c r="M11" i="59"/>
  <c r="N11" i="59"/>
  <c r="O11" i="59"/>
  <c r="P11" i="59"/>
  <c r="Q11" i="59"/>
  <c r="R11" i="59"/>
  <c r="S11" i="59"/>
  <c r="T11" i="59"/>
  <c r="U11" i="59"/>
  <c r="V11" i="59"/>
  <c r="W11" i="59"/>
  <c r="X11" i="59"/>
  <c r="Z11" i="59"/>
  <c r="AB11" i="59"/>
  <c r="AC11" i="59"/>
  <c r="AE11" i="59"/>
  <c r="AF11" i="59"/>
  <c r="AG11" i="59"/>
  <c r="D11" i="59"/>
  <c r="D12" i="59" s="1"/>
  <c r="E12" i="59" s="1"/>
  <c r="F12" i="59" s="1"/>
  <c r="G12" i="59" s="1"/>
  <c r="H12" i="59" s="1"/>
  <c r="I12" i="59" s="1"/>
  <c r="L11" i="59"/>
  <c r="AD11" i="59"/>
  <c r="D15" i="59"/>
  <c r="D24" i="59"/>
  <c r="L27" i="59"/>
  <c r="M27" i="59" s="1"/>
  <c r="N27" i="59" s="1"/>
  <c r="O27" i="59" s="1"/>
  <c r="P27" i="59" s="1"/>
  <c r="Q27" i="59" s="1"/>
  <c r="R27" i="59" s="1"/>
  <c r="S27" i="59" s="1"/>
  <c r="T27" i="59" s="1"/>
  <c r="U27" i="59" s="1"/>
  <c r="V27" i="59" s="1"/>
  <c r="W27" i="59" s="1"/>
  <c r="X27" i="59" s="1"/>
  <c r="Y27" i="59" s="1"/>
  <c r="Z27" i="59" s="1"/>
  <c r="AA27" i="59" s="1"/>
  <c r="AB27" i="59" s="1"/>
  <c r="AC27" i="59" s="1"/>
  <c r="AD27" i="59" s="1"/>
  <c r="AE27" i="59" s="1"/>
  <c r="AF27" i="59" s="1"/>
  <c r="AG27" i="59" s="1"/>
  <c r="AH27" i="59" s="1"/>
  <c r="T12" i="88" l="1"/>
  <c r="D28" i="59"/>
  <c r="D25" i="59"/>
  <c r="Y11" i="59"/>
  <c r="AA11" i="59"/>
  <c r="AH11" i="59"/>
  <c r="K13" i="59"/>
  <c r="N13" i="59"/>
  <c r="U12" i="88" l="1"/>
  <c r="AH13" i="59"/>
  <c r="D21" i="59"/>
  <c r="D19" i="59"/>
  <c r="D17" i="59"/>
  <c r="D23" i="59"/>
  <c r="Q13" i="59"/>
  <c r="T13" i="59"/>
  <c r="W13" i="59"/>
  <c r="S13" i="59"/>
  <c r="R13" i="59"/>
  <c r="U13" i="59"/>
  <c r="V13" i="59"/>
  <c r="Z13" i="59"/>
  <c r="Y13" i="59"/>
  <c r="X13" i="59"/>
  <c r="P13" i="59"/>
  <c r="O13" i="59"/>
  <c r="L13" i="59"/>
  <c r="M13" i="59"/>
  <c r="E13" i="59"/>
  <c r="F13" i="59"/>
  <c r="V12" i="88" l="1"/>
  <c r="E15" i="59"/>
  <c r="F15" i="59"/>
  <c r="AA13" i="59"/>
  <c r="G13" i="59"/>
  <c r="W12" i="88" l="1"/>
  <c r="G6" i="86"/>
  <c r="H6" i="86"/>
  <c r="G15" i="59"/>
  <c r="AB13" i="59"/>
  <c r="H13" i="59"/>
  <c r="X12" i="88" l="1"/>
  <c r="G14" i="86"/>
  <c r="G12" i="86" s="1"/>
  <c r="G8" i="86" s="1"/>
  <c r="G5" i="86"/>
  <c r="G4" i="86" s="1"/>
  <c r="H5" i="86"/>
  <c r="H4" i="86" s="1"/>
  <c r="H14" i="86"/>
  <c r="H12" i="86" s="1"/>
  <c r="H8" i="86" s="1"/>
  <c r="I6" i="86"/>
  <c r="H15" i="59"/>
  <c r="AC13" i="59"/>
  <c r="I13" i="59"/>
  <c r="Y12" i="88" l="1"/>
  <c r="F18" i="59"/>
  <c r="F28" i="59" s="1"/>
  <c r="E18" i="59"/>
  <c r="J6" i="86"/>
  <c r="I5" i="86"/>
  <c r="I4" i="86" s="1"/>
  <c r="I14" i="86"/>
  <c r="I12" i="86" s="1"/>
  <c r="I8" i="86" s="1"/>
  <c r="I15" i="59"/>
  <c r="J15" i="59"/>
  <c r="AD13" i="59"/>
  <c r="H3" i="86" l="1"/>
  <c r="H3" i="88" s="1"/>
  <c r="H7" i="88" s="1"/>
  <c r="H4" i="88"/>
  <c r="G3" i="86"/>
  <c r="G3" i="88" s="1"/>
  <c r="G7" i="88" s="1"/>
  <c r="G4" i="88"/>
  <c r="Z12" i="88"/>
  <c r="F24" i="59"/>
  <c r="F25" i="59" s="1"/>
  <c r="F17" i="59" s="1"/>
  <c r="G18" i="59"/>
  <c r="G24" i="59" s="1"/>
  <c r="G25" i="59" s="1"/>
  <c r="G19" i="59" s="1"/>
  <c r="E28" i="59"/>
  <c r="E24" i="59"/>
  <c r="E25" i="59" s="1"/>
  <c r="K6" i="86"/>
  <c r="J14" i="86"/>
  <c r="J12" i="86" s="1"/>
  <c r="J8" i="86" s="1"/>
  <c r="J5" i="86"/>
  <c r="J4" i="86" s="1"/>
  <c r="L6" i="86"/>
  <c r="K15" i="59"/>
  <c r="AE13" i="59"/>
  <c r="H5" i="88" l="1"/>
  <c r="I3" i="86"/>
  <c r="I3" i="88" s="1"/>
  <c r="I7" i="88" s="1"/>
  <c r="I4" i="88"/>
  <c r="G5" i="88"/>
  <c r="AA12" i="88"/>
  <c r="F21" i="59"/>
  <c r="F23" i="59"/>
  <c r="F19" i="59"/>
  <c r="E23" i="59"/>
  <c r="E19" i="59"/>
  <c r="E21" i="59"/>
  <c r="E17" i="59"/>
  <c r="G17" i="59"/>
  <c r="G21" i="59"/>
  <c r="G28" i="59"/>
  <c r="H18" i="59"/>
  <c r="H24" i="59" s="1"/>
  <c r="H25" i="59" s="1"/>
  <c r="H19" i="59" s="1"/>
  <c r="G23" i="59"/>
  <c r="K14" i="86"/>
  <c r="K12" i="86" s="1"/>
  <c r="K8" i="86" s="1"/>
  <c r="K5" i="86"/>
  <c r="K4" i="86" s="1"/>
  <c r="M6" i="86"/>
  <c r="L5" i="86"/>
  <c r="L4" i="86" s="1"/>
  <c r="L14" i="86"/>
  <c r="L12" i="86" s="1"/>
  <c r="L15" i="59"/>
  <c r="N6" i="86" s="1"/>
  <c r="AF13" i="59"/>
  <c r="J3" i="86" l="1"/>
  <c r="J3" i="88" s="1"/>
  <c r="J7" i="88" s="1"/>
  <c r="J4" i="88"/>
  <c r="I5" i="88"/>
  <c r="AB12" i="88"/>
  <c r="I18" i="59"/>
  <c r="I24" i="59" s="1"/>
  <c r="I25" i="59" s="1"/>
  <c r="H17" i="59"/>
  <c r="H21" i="59"/>
  <c r="H23" i="59"/>
  <c r="H28" i="59"/>
  <c r="M14" i="86"/>
  <c r="M12" i="86" s="1"/>
  <c r="M5" i="86"/>
  <c r="M4" i="86" s="1"/>
  <c r="N14" i="86"/>
  <c r="N12" i="86" s="1"/>
  <c r="N5" i="86"/>
  <c r="N4" i="86" s="1"/>
  <c r="M15" i="59"/>
  <c r="O6" i="86" s="1"/>
  <c r="AG13" i="59"/>
  <c r="I28" i="59" l="1"/>
  <c r="K3" i="86"/>
  <c r="K3" i="88" s="1"/>
  <c r="K7" i="88" s="1"/>
  <c r="K4" i="88"/>
  <c r="J5" i="88"/>
  <c r="AC12" i="88"/>
  <c r="I23" i="59"/>
  <c r="O14" i="86"/>
  <c r="O12" i="86" s="1"/>
  <c r="O5" i="86"/>
  <c r="O4" i="86" s="1"/>
  <c r="I21" i="59"/>
  <c r="I17" i="59"/>
  <c r="I19" i="59"/>
  <c r="N15" i="59"/>
  <c r="P6" i="86" s="1"/>
  <c r="K5" i="88" l="1"/>
  <c r="AD12" i="88"/>
  <c r="P5" i="86"/>
  <c r="P4" i="86" s="1"/>
  <c r="P14" i="86"/>
  <c r="P12" i="86" s="1"/>
  <c r="O15" i="59"/>
  <c r="Q6" i="86" s="1"/>
  <c r="AE12" i="88" l="1"/>
  <c r="Q5" i="86"/>
  <c r="Q4" i="86" s="1"/>
  <c r="Q14" i="86"/>
  <c r="Q12" i="86" s="1"/>
  <c r="P15" i="59"/>
  <c r="R6" i="86" s="1"/>
  <c r="AF12" i="88" l="1"/>
  <c r="R5" i="86"/>
  <c r="R4" i="86" s="1"/>
  <c r="R14" i="86"/>
  <c r="R12" i="86" s="1"/>
  <c r="Q15" i="59"/>
  <c r="S6" i="86" s="1"/>
  <c r="AG12" i="88" l="1"/>
  <c r="S5" i="86"/>
  <c r="S4" i="86" s="1"/>
  <c r="S14" i="86"/>
  <c r="S12" i="86" s="1"/>
  <c r="R15" i="59"/>
  <c r="T6" i="86" s="1"/>
  <c r="AH12" i="88" l="1"/>
  <c r="T5" i="86"/>
  <c r="T4" i="86" s="1"/>
  <c r="T14" i="86"/>
  <c r="T12" i="86" s="1"/>
  <c r="S15" i="59"/>
  <c r="U6" i="86" s="1"/>
  <c r="AI12" i="88" l="1"/>
  <c r="U14" i="86"/>
  <c r="U12" i="86" s="1"/>
  <c r="U5" i="86"/>
  <c r="U4" i="86" s="1"/>
  <c r="T15" i="59"/>
  <c r="V6" i="86" s="1"/>
  <c r="AJ12" i="88" l="1"/>
  <c r="V14" i="86"/>
  <c r="V12" i="86" s="1"/>
  <c r="V5" i="86"/>
  <c r="V4" i="86" s="1"/>
  <c r="U15" i="59"/>
  <c r="W6" i="86" s="1"/>
  <c r="W14" i="86" l="1"/>
  <c r="W12" i="86" s="1"/>
  <c r="W5" i="86"/>
  <c r="W4" i="86" s="1"/>
  <c r="V15" i="59"/>
  <c r="X6" i="86" s="1"/>
  <c r="X5" i="86" l="1"/>
  <c r="X4" i="86" s="1"/>
  <c r="X14" i="86"/>
  <c r="X12" i="86" s="1"/>
  <c r="W15" i="59"/>
  <c r="Y6" i="86" s="1"/>
  <c r="Y5" i="86" l="1"/>
  <c r="Y4" i="86" s="1"/>
  <c r="Y14" i="86"/>
  <c r="Y12" i="86" s="1"/>
  <c r="X15" i="59"/>
  <c r="Z6" i="86" s="1"/>
  <c r="Z5" i="86" l="1"/>
  <c r="Z4" i="86" s="1"/>
  <c r="Z14" i="86"/>
  <c r="Z12" i="86" s="1"/>
  <c r="Y15" i="59"/>
  <c r="AA6" i="86" s="1"/>
  <c r="AA5" i="86" l="1"/>
  <c r="AA4" i="86" s="1"/>
  <c r="AA14" i="86"/>
  <c r="AA12" i="86" s="1"/>
  <c r="Z15" i="59"/>
  <c r="AB6" i="86" s="1"/>
  <c r="AB5" i="86" l="1"/>
  <c r="AB4" i="86" s="1"/>
  <c r="AB14" i="86"/>
  <c r="AB12" i="86" s="1"/>
  <c r="AA15" i="59"/>
  <c r="AC6" i="86" s="1"/>
  <c r="AC14" i="86" l="1"/>
  <c r="AC12" i="86" s="1"/>
  <c r="AC5" i="86"/>
  <c r="AC4" i="86" s="1"/>
  <c r="AB15" i="59"/>
  <c r="AD6" i="86" s="1"/>
  <c r="AD14" i="86" l="1"/>
  <c r="AD12" i="86" s="1"/>
  <c r="AD5" i="86"/>
  <c r="AD4" i="86" s="1"/>
  <c r="AC15" i="59"/>
  <c r="AE6" i="86" s="1"/>
  <c r="AE14" i="86" l="1"/>
  <c r="AE12" i="86" s="1"/>
  <c r="AE5" i="86"/>
  <c r="AE4" i="86" s="1"/>
  <c r="AD15" i="59"/>
  <c r="AF6" i="86" s="1"/>
  <c r="AF5" i="86" l="1"/>
  <c r="AF4" i="86" s="1"/>
  <c r="AF14" i="86"/>
  <c r="AF12" i="86" s="1"/>
  <c r="AE15" i="59"/>
  <c r="AG6" i="86" s="1"/>
  <c r="AG5" i="86" l="1"/>
  <c r="AG4" i="86" s="1"/>
  <c r="AG14" i="86"/>
  <c r="AG12" i="86" s="1"/>
  <c r="AF15" i="59"/>
  <c r="AH6" i="86" s="1"/>
  <c r="AH5" i="86" l="1"/>
  <c r="AH4" i="86" s="1"/>
  <c r="AH14" i="86"/>
  <c r="AH12" i="86" s="1"/>
  <c r="AG15" i="59"/>
  <c r="AI6" i="86" s="1"/>
  <c r="AI5" i="86" l="1"/>
  <c r="AI4" i="86" s="1"/>
  <c r="AI14" i="86"/>
  <c r="AI12" i="86" s="1"/>
  <c r="AH15" i="59" l="1"/>
  <c r="AJ6" i="86" s="1"/>
  <c r="AJ5" i="86" l="1"/>
  <c r="AJ4" i="86" s="1"/>
  <c r="AJ14" i="86"/>
  <c r="AJ12" i="86" s="1"/>
  <c r="G13" i="88" l="1"/>
  <c r="F10" i="88"/>
  <c r="F11" i="88" s="1"/>
  <c r="F8" i="88"/>
  <c r="G10" i="88" l="1"/>
  <c r="G11" i="88" s="1"/>
  <c r="H13" i="88"/>
  <c r="G8" i="88"/>
  <c r="H10" i="88" l="1"/>
  <c r="H11" i="88" s="1"/>
  <c r="I13" i="88"/>
  <c r="H8" i="88"/>
  <c r="J13" i="88" l="1"/>
  <c r="I10" i="88"/>
  <c r="I11" i="88" s="1"/>
  <c r="I8" i="88"/>
  <c r="J10" i="88" l="1"/>
  <c r="J11" i="88" s="1"/>
  <c r="K13" i="88"/>
  <c r="J8" i="88"/>
  <c r="K10" i="88" l="1"/>
  <c r="K11" i="88" s="1"/>
  <c r="K8" i="88"/>
  <c r="M13" i="88" l="1"/>
  <c r="L10" i="88"/>
  <c r="L6" i="88" l="1"/>
  <c r="M10" i="88"/>
  <c r="N13" i="88"/>
  <c r="J18" i="59" l="1"/>
  <c r="L11" i="86"/>
  <c r="M15" i="86"/>
  <c r="O13" i="88"/>
  <c r="N10" i="88"/>
  <c r="L9" i="88"/>
  <c r="L8" i="88"/>
  <c r="L11" i="88"/>
  <c r="M11" i="86" l="1"/>
  <c r="M6" i="88"/>
  <c r="M11" i="88" s="1"/>
  <c r="N15" i="86"/>
  <c r="L18" i="59" s="1"/>
  <c r="K18" i="59"/>
  <c r="C30" i="59" s="1"/>
  <c r="P13" i="88"/>
  <c r="O10" i="88"/>
  <c r="N11" i="86" l="1"/>
  <c r="M8" i="88"/>
  <c r="M9" i="88"/>
  <c r="O15" i="86"/>
  <c r="N6" i="88"/>
  <c r="N9" i="88" s="1"/>
  <c r="Q13" i="88"/>
  <c r="P10" i="88"/>
  <c r="O11" i="86" l="1"/>
  <c r="N8" i="88"/>
  <c r="N11" i="88"/>
  <c r="O6" i="88"/>
  <c r="O8" i="88" s="1"/>
  <c r="M18" i="59"/>
  <c r="P15" i="86"/>
  <c r="O11" i="88"/>
  <c r="O9" i="88"/>
  <c r="Q10" i="88"/>
  <c r="R13" i="88"/>
  <c r="P11" i="86" l="1"/>
  <c r="N18" i="59"/>
  <c r="P6" i="88"/>
  <c r="P9" i="88" s="1"/>
  <c r="Q15" i="86"/>
  <c r="R15" i="86" s="1"/>
  <c r="S13" i="88"/>
  <c r="R10" i="88"/>
  <c r="O18" i="59" l="1"/>
  <c r="P11" i="88"/>
  <c r="P8" i="88"/>
  <c r="R11" i="86"/>
  <c r="Q11" i="86"/>
  <c r="Q6" i="88"/>
  <c r="Q11" i="88" s="1"/>
  <c r="R6" i="88"/>
  <c r="S15" i="86"/>
  <c r="P18" i="59"/>
  <c r="S10" i="88"/>
  <c r="T13" i="88"/>
  <c r="S11" i="86" l="1"/>
  <c r="Q8" i="88"/>
  <c r="Q9" i="88"/>
  <c r="S6" i="88"/>
  <c r="T15" i="86"/>
  <c r="Q18" i="59"/>
  <c r="T10" i="88"/>
  <c r="U13" i="88"/>
  <c r="R9" i="88"/>
  <c r="R8" i="88"/>
  <c r="R11" i="88"/>
  <c r="T11" i="86" l="1"/>
  <c r="U10" i="88"/>
  <c r="V13" i="88"/>
  <c r="U15" i="86"/>
  <c r="T6" i="88"/>
  <c r="R18" i="59"/>
  <c r="S11" i="88"/>
  <c r="S9" i="88"/>
  <c r="S8" i="88"/>
  <c r="U11" i="86" l="1"/>
  <c r="W13" i="88"/>
  <c r="V10" i="88"/>
  <c r="T11" i="88"/>
  <c r="T9" i="88"/>
  <c r="T8" i="88"/>
  <c r="V15" i="86"/>
  <c r="U6" i="88"/>
  <c r="S18" i="59"/>
  <c r="V11" i="86" l="1"/>
  <c r="W10" i="88"/>
  <c r="X13" i="88"/>
  <c r="W15" i="86"/>
  <c r="V6" i="88"/>
  <c r="T18" i="59"/>
  <c r="U9" i="88"/>
  <c r="U8" i="88"/>
  <c r="U11" i="88"/>
  <c r="W11" i="86" l="1"/>
  <c r="W6" i="88"/>
  <c r="X15" i="86"/>
  <c r="U18" i="59"/>
  <c r="X10" i="88"/>
  <c r="Y13" i="88"/>
  <c r="V11" i="88"/>
  <c r="V9" i="88"/>
  <c r="V8" i="88"/>
  <c r="X11" i="86" l="1"/>
  <c r="Y10" i="88"/>
  <c r="Z13" i="88"/>
  <c r="Y15" i="86"/>
  <c r="X6" i="88"/>
  <c r="V18" i="59"/>
  <c r="W9" i="88"/>
  <c r="W8" i="88"/>
  <c r="W11" i="88"/>
  <c r="Y11" i="86" l="1"/>
  <c r="Z10" i="88"/>
  <c r="AA13" i="88"/>
  <c r="X9" i="88"/>
  <c r="X11" i="88"/>
  <c r="X8" i="88"/>
  <c r="Z15" i="86"/>
  <c r="Y6" i="88"/>
  <c r="W18" i="59"/>
  <c r="Z11" i="86" l="1"/>
  <c r="Y9" i="88"/>
  <c r="Y11" i="88"/>
  <c r="Y8" i="88"/>
  <c r="Z6" i="88"/>
  <c r="AA15" i="86"/>
  <c r="X18" i="59"/>
  <c r="AA10" i="88"/>
  <c r="AB13" i="88"/>
  <c r="AA11" i="86" l="1"/>
  <c r="Z9" i="88"/>
  <c r="Z8" i="88"/>
  <c r="Z11" i="88"/>
  <c r="AB15" i="86"/>
  <c r="AA6" i="88"/>
  <c r="Y18" i="59"/>
  <c r="AB10" i="88"/>
  <c r="AC13" i="88"/>
  <c r="AB11" i="86" l="1"/>
  <c r="AC10" i="88"/>
  <c r="AD13" i="88"/>
  <c r="AA11" i="88"/>
  <c r="AA9" i="88"/>
  <c r="AA8" i="88"/>
  <c r="AB6" i="88"/>
  <c r="AC15" i="86"/>
  <c r="Z18" i="59"/>
  <c r="AC11" i="86" l="1"/>
  <c r="AE13" i="88"/>
  <c r="AD10" i="88"/>
  <c r="AC6" i="88"/>
  <c r="AD15" i="86"/>
  <c r="AA18" i="59"/>
  <c r="AB11" i="88"/>
  <c r="AB9" i="88"/>
  <c r="AB8" i="88"/>
  <c r="AD11" i="86" l="1"/>
  <c r="AE15" i="86"/>
  <c r="AD6" i="88"/>
  <c r="AB18" i="59"/>
  <c r="AF13" i="88"/>
  <c r="AE10" i="88"/>
  <c r="AC9" i="88"/>
  <c r="AC11" i="88"/>
  <c r="AC8" i="88"/>
  <c r="AE11" i="86" l="1"/>
  <c r="AD11" i="88"/>
  <c r="AD9" i="88"/>
  <c r="AD8" i="88"/>
  <c r="AF15" i="86"/>
  <c r="AE6" i="88"/>
  <c r="AC18" i="59"/>
  <c r="AF10" i="88"/>
  <c r="AG13" i="88"/>
  <c r="AF11" i="86" l="1"/>
  <c r="AE11" i="88"/>
  <c r="AE9" i="88"/>
  <c r="AE8" i="88"/>
  <c r="AG10" i="88"/>
  <c r="AH13" i="88"/>
  <c r="AG15" i="86"/>
  <c r="AF6" i="88"/>
  <c r="AD18" i="59"/>
  <c r="AG11" i="86" l="1"/>
  <c r="AH15" i="86"/>
  <c r="AG6" i="88"/>
  <c r="AE18" i="59"/>
  <c r="AH10" i="88"/>
  <c r="AI13" i="88"/>
  <c r="AF9" i="88"/>
  <c r="AF11" i="88"/>
  <c r="AF8" i="88"/>
  <c r="AH11" i="86" l="1"/>
  <c r="AI10" i="88"/>
  <c r="AJ13" i="88"/>
  <c r="AJ10" i="88" s="1"/>
  <c r="AG11" i="88"/>
  <c r="AG8" i="88"/>
  <c r="AG9" i="88"/>
  <c r="AH6" i="88"/>
  <c r="AI15" i="86"/>
  <c r="AF18" i="59"/>
  <c r="AI11" i="86" l="1"/>
  <c r="AI6" i="88"/>
  <c r="AJ15" i="86"/>
  <c r="AG18" i="59"/>
  <c r="AH9" i="88"/>
  <c r="AH8" i="88"/>
  <c r="AH11" i="88"/>
  <c r="AJ11" i="86" l="1"/>
  <c r="AI9" i="88"/>
  <c r="AI8" i="88"/>
  <c r="AI11" i="88"/>
  <c r="AJ6" i="88"/>
  <c r="AH18" i="59"/>
  <c r="AJ9" i="88" l="1"/>
  <c r="AJ11" i="88"/>
  <c r="AJ8" i="88"/>
  <c r="M9" i="86"/>
  <c r="L9" i="86"/>
  <c r="L8" i="86" s="1"/>
  <c r="L4" i="88" s="1"/>
  <c r="K20" i="59" l="1"/>
  <c r="M8" i="86"/>
  <c r="M4" i="88" s="1"/>
  <c r="L3" i="86"/>
  <c r="L3" i="88" s="1"/>
  <c r="L5" i="88" s="1"/>
  <c r="J20" i="59"/>
  <c r="M3" i="86" l="1"/>
  <c r="M3" i="88" s="1"/>
  <c r="M5" i="88" s="1"/>
  <c r="L7" i="88"/>
  <c r="N9" i="86"/>
  <c r="J28" i="59"/>
  <c r="J24" i="59"/>
  <c r="K24" i="59"/>
  <c r="K28" i="59"/>
  <c r="K26" i="59" s="1"/>
  <c r="M7" i="88" l="1"/>
  <c r="L20" i="59"/>
  <c r="N8" i="86"/>
  <c r="N4" i="88" s="1"/>
  <c r="O9" i="86"/>
  <c r="J25" i="59"/>
  <c r="J23" i="59" s="1"/>
  <c r="J26" i="59"/>
  <c r="J31" i="59"/>
  <c r="K25" i="59"/>
  <c r="N3" i="86" l="1"/>
  <c r="N3" i="88" s="1"/>
  <c r="N7" i="88" s="1"/>
  <c r="M20" i="59"/>
  <c r="O8" i="86"/>
  <c r="O4" i="88" s="1"/>
  <c r="K19" i="59"/>
  <c r="K17" i="59"/>
  <c r="K21" i="59"/>
  <c r="L28" i="59"/>
  <c r="L26" i="59" s="1"/>
  <c r="L24" i="59"/>
  <c r="K23" i="59"/>
  <c r="J17" i="59"/>
  <c r="J19" i="59"/>
  <c r="J21" i="59"/>
  <c r="P9" i="86"/>
  <c r="O3" i="86" l="1"/>
  <c r="O3" i="88" s="1"/>
  <c r="O5" i="88" s="1"/>
  <c r="N5" i="88"/>
  <c r="N20" i="59"/>
  <c r="P8" i="86"/>
  <c r="P4" i="88" s="1"/>
  <c r="M28" i="59"/>
  <c r="M26" i="59" s="1"/>
  <c r="M24" i="59"/>
  <c r="Q9" i="86"/>
  <c r="L25" i="59"/>
  <c r="O7" i="88" l="1"/>
  <c r="O20" i="59"/>
  <c r="Q8" i="86"/>
  <c r="Q4" i="88" s="1"/>
  <c r="P3" i="86"/>
  <c r="P3" i="88" s="1"/>
  <c r="P5" i="88" s="1"/>
  <c r="M25" i="59"/>
  <c r="M23" i="59" s="1"/>
  <c r="L19" i="59"/>
  <c r="L17" i="59"/>
  <c r="L21" i="59"/>
  <c r="L23" i="59"/>
  <c r="R9" i="86"/>
  <c r="N24" i="59"/>
  <c r="N28" i="59"/>
  <c r="N26" i="59" s="1"/>
  <c r="Q3" i="86" l="1"/>
  <c r="Q3" i="88" s="1"/>
  <c r="Q7" i="88" s="1"/>
  <c r="P7" i="88"/>
  <c r="P20" i="59"/>
  <c r="R8" i="86"/>
  <c r="R4" i="88" s="1"/>
  <c r="O28" i="59"/>
  <c r="O26" i="59" s="1"/>
  <c r="O24" i="59"/>
  <c r="N25" i="59"/>
  <c r="S9" i="86"/>
  <c r="M17" i="59"/>
  <c r="M19" i="59"/>
  <c r="M21" i="59"/>
  <c r="Q5" i="88" l="1"/>
  <c r="R3" i="86"/>
  <c r="R3" i="88" s="1"/>
  <c r="R5" i="88" s="1"/>
  <c r="Q20" i="59"/>
  <c r="S8" i="86"/>
  <c r="S4" i="88" s="1"/>
  <c r="O25" i="59"/>
  <c r="O23" i="59" s="1"/>
  <c r="P24" i="59"/>
  <c r="P28" i="59"/>
  <c r="P26" i="59" s="1"/>
  <c r="T9" i="86"/>
  <c r="N17" i="59"/>
  <c r="N19" i="59"/>
  <c r="N21" i="59"/>
  <c r="N23" i="59"/>
  <c r="S3" i="86" l="1"/>
  <c r="S3" i="88" s="1"/>
  <c r="S5" i="88" s="1"/>
  <c r="R7" i="88"/>
  <c r="R20" i="59"/>
  <c r="T8" i="86"/>
  <c r="T4" i="88" s="1"/>
  <c r="O17" i="59"/>
  <c r="O19" i="59"/>
  <c r="O21" i="59"/>
  <c r="U9" i="86"/>
  <c r="Q28" i="59"/>
  <c r="Q26" i="59" s="1"/>
  <c r="Q24" i="59"/>
  <c r="P25" i="59"/>
  <c r="S7" i="88" l="1"/>
  <c r="S20" i="59"/>
  <c r="U8" i="86"/>
  <c r="U4" i="88" s="1"/>
  <c r="T3" i="86"/>
  <c r="T3" i="88" s="1"/>
  <c r="T5" i="88" s="1"/>
  <c r="R24" i="59"/>
  <c r="R28" i="59"/>
  <c r="R26" i="59" s="1"/>
  <c r="P19" i="59"/>
  <c r="P17" i="59"/>
  <c r="P21" i="59"/>
  <c r="P23" i="59"/>
  <c r="V9" i="86"/>
  <c r="Q25" i="59"/>
  <c r="Q23" i="59" s="1"/>
  <c r="U3" i="86" l="1"/>
  <c r="U3" i="88" s="1"/>
  <c r="U7" i="88" s="1"/>
  <c r="T7" i="88"/>
  <c r="T20" i="59"/>
  <c r="V8" i="86"/>
  <c r="V4" i="88" s="1"/>
  <c r="W9" i="86"/>
  <c r="R25" i="59"/>
  <c r="Q19" i="59"/>
  <c r="Q17" i="59"/>
  <c r="Q21" i="59"/>
  <c r="S24" i="59"/>
  <c r="S28" i="59"/>
  <c r="S26" i="59" s="1"/>
  <c r="U5" i="88" l="1"/>
  <c r="V3" i="86"/>
  <c r="V3" i="88" s="1"/>
  <c r="V7" i="88" s="1"/>
  <c r="U20" i="59"/>
  <c r="W8" i="86"/>
  <c r="W4" i="88" s="1"/>
  <c r="S25" i="59"/>
  <c r="X9" i="86"/>
  <c r="T24" i="59"/>
  <c r="T28" i="59"/>
  <c r="T26" i="59" s="1"/>
  <c r="R17" i="59"/>
  <c r="R19" i="59"/>
  <c r="R21" i="59"/>
  <c r="R23" i="59"/>
  <c r="W3" i="86" l="1"/>
  <c r="W3" i="88" s="1"/>
  <c r="W7" i="88" s="1"/>
  <c r="V5" i="88"/>
  <c r="V20" i="59"/>
  <c r="X8" i="86"/>
  <c r="X4" i="88" s="1"/>
  <c r="Y9" i="86"/>
  <c r="T25" i="59"/>
  <c r="T23" i="59" s="1"/>
  <c r="U24" i="59"/>
  <c r="U28" i="59"/>
  <c r="U26" i="59" s="1"/>
  <c r="S19" i="59"/>
  <c r="S17" i="59"/>
  <c r="S21" i="59"/>
  <c r="S23" i="59"/>
  <c r="W5" i="88" l="1"/>
  <c r="W20" i="59"/>
  <c r="Y8" i="86"/>
  <c r="Y4" i="88" s="1"/>
  <c r="X3" i="86"/>
  <c r="X3" i="88" s="1"/>
  <c r="X5" i="88" s="1"/>
  <c r="T19" i="59"/>
  <c r="T17" i="59"/>
  <c r="T21" i="59"/>
  <c r="Z9" i="86"/>
  <c r="U25" i="59"/>
  <c r="V28" i="59"/>
  <c r="V26" i="59" s="1"/>
  <c r="V24" i="59"/>
  <c r="Y3" i="86" l="1"/>
  <c r="Y3" i="88" s="1"/>
  <c r="Y7" i="88" s="1"/>
  <c r="X7" i="88"/>
  <c r="X20" i="59"/>
  <c r="Z8" i="86"/>
  <c r="Z4" i="88" s="1"/>
  <c r="W28" i="59"/>
  <c r="W26" i="59" s="1"/>
  <c r="W24" i="59"/>
  <c r="U17" i="59"/>
  <c r="U19" i="59"/>
  <c r="U21" i="59"/>
  <c r="AA9" i="86"/>
  <c r="V25" i="59"/>
  <c r="U23" i="59"/>
  <c r="Z3" i="86" l="1"/>
  <c r="Z3" i="88" s="1"/>
  <c r="Z5" i="88" s="1"/>
  <c r="Y5" i="88"/>
  <c r="Y20" i="59"/>
  <c r="AA8" i="86"/>
  <c r="AA4" i="88" s="1"/>
  <c r="V17" i="59"/>
  <c r="V19" i="59"/>
  <c r="V21" i="59"/>
  <c r="X28" i="59"/>
  <c r="X26" i="59" s="1"/>
  <c r="X24" i="59"/>
  <c r="V23" i="59"/>
  <c r="W25" i="59"/>
  <c r="AB9" i="86"/>
  <c r="Z7" i="88" l="1"/>
  <c r="AA3" i="86"/>
  <c r="AA3" i="88" s="1"/>
  <c r="AA7" i="88" s="1"/>
  <c r="Z20" i="59"/>
  <c r="AB8" i="86"/>
  <c r="AB4" i="88" s="1"/>
  <c r="Y24" i="59"/>
  <c r="Y28" i="59"/>
  <c r="Y26" i="59" s="1"/>
  <c r="AC9" i="86"/>
  <c r="W17" i="59"/>
  <c r="W19" i="59"/>
  <c r="W21" i="59"/>
  <c r="W23" i="59"/>
  <c r="X25" i="59"/>
  <c r="X23" i="59" s="1"/>
  <c r="AB3" i="86" l="1"/>
  <c r="AB3" i="88" s="1"/>
  <c r="AB7" i="88" s="1"/>
  <c r="AA5" i="88"/>
  <c r="AA20" i="59"/>
  <c r="AC8" i="86"/>
  <c r="AC4" i="88" s="1"/>
  <c r="Z24" i="59"/>
  <c r="Z28" i="59"/>
  <c r="Z26" i="59" s="1"/>
  <c r="X19" i="59"/>
  <c r="X17" i="59"/>
  <c r="X21" i="59"/>
  <c r="AD9" i="86"/>
  <c r="Y25" i="59"/>
  <c r="Y23" i="59" s="1"/>
  <c r="AB5" i="88" l="1"/>
  <c r="AC3" i="86"/>
  <c r="AC3" i="88" s="1"/>
  <c r="AC5" i="88" s="1"/>
  <c r="AB20" i="59"/>
  <c r="AD8" i="86"/>
  <c r="AD4" i="88" s="1"/>
  <c r="Y17" i="59"/>
  <c r="Y19" i="59"/>
  <c r="Y21" i="59"/>
  <c r="AA24" i="59"/>
  <c r="AA28" i="59"/>
  <c r="AA26" i="59" s="1"/>
  <c r="Z25" i="59"/>
  <c r="AE9" i="86"/>
  <c r="AC7" i="88" l="1"/>
  <c r="AD3" i="86"/>
  <c r="AD3" i="88" s="1"/>
  <c r="AD5" i="88" s="1"/>
  <c r="AC20" i="59"/>
  <c r="AE8" i="86"/>
  <c r="AE4" i="88" s="1"/>
  <c r="AF9" i="86"/>
  <c r="Z19" i="59"/>
  <c r="Z17" i="59"/>
  <c r="Z21" i="59"/>
  <c r="Z23" i="59"/>
  <c r="AA25" i="59"/>
  <c r="AA23" i="59" s="1"/>
  <c r="AB28" i="59"/>
  <c r="AB26" i="59" s="1"/>
  <c r="AB24" i="59"/>
  <c r="AE3" i="86" l="1"/>
  <c r="AE3" i="88" s="1"/>
  <c r="AE5" i="88" s="1"/>
  <c r="AD7" i="88"/>
  <c r="AD20" i="59"/>
  <c r="AF8" i="86"/>
  <c r="AF4" i="88" s="1"/>
  <c r="AC28" i="59"/>
  <c r="AC26" i="59" s="1"/>
  <c r="AC24" i="59"/>
  <c r="AB25" i="59"/>
  <c r="AB23" i="59" s="1"/>
  <c r="AA19" i="59"/>
  <c r="AA17" i="59"/>
  <c r="AA21" i="59"/>
  <c r="AG9" i="86"/>
  <c r="AE7" i="88" l="1"/>
  <c r="AE20" i="59"/>
  <c r="AG8" i="86"/>
  <c r="AG4" i="88" s="1"/>
  <c r="AF3" i="86"/>
  <c r="AF3" i="88" s="1"/>
  <c r="AF7" i="88" s="1"/>
  <c r="AH9" i="86"/>
  <c r="AB17" i="59"/>
  <c r="AB19" i="59"/>
  <c r="AB21" i="59"/>
  <c r="AC25" i="59"/>
  <c r="AD24" i="59"/>
  <c r="AD28" i="59"/>
  <c r="AD26" i="59" s="1"/>
  <c r="AG3" i="86" l="1"/>
  <c r="AG3" i="88" s="1"/>
  <c r="AG7" i="88" s="1"/>
  <c r="AF5" i="88"/>
  <c r="AF20" i="59"/>
  <c r="AH8" i="86"/>
  <c r="AH4" i="88" s="1"/>
  <c r="AC17" i="59"/>
  <c r="AC19" i="59"/>
  <c r="AC21" i="59"/>
  <c r="AD25" i="59"/>
  <c r="AD23" i="59" s="1"/>
  <c r="AE28" i="59"/>
  <c r="AE26" i="59" s="1"/>
  <c r="AE24" i="59"/>
  <c r="AJ9" i="86"/>
  <c r="AI9" i="86"/>
  <c r="AC23" i="59"/>
  <c r="AH3" i="86" l="1"/>
  <c r="AH3" i="88" s="1"/>
  <c r="AH7" i="88" s="1"/>
  <c r="AG5" i="88"/>
  <c r="AG20" i="59"/>
  <c r="AI8" i="86"/>
  <c r="AI4" i="88" s="1"/>
  <c r="AH20" i="59"/>
  <c r="AJ8" i="86"/>
  <c r="AJ4" i="88" s="1"/>
  <c r="AF24" i="59"/>
  <c r="AF28" i="59"/>
  <c r="AF26" i="59" s="1"/>
  <c r="AE25" i="59"/>
  <c r="AD19" i="59"/>
  <c r="AD17" i="59"/>
  <c r="AD21" i="59"/>
  <c r="AH5" i="88" l="1"/>
  <c r="AI3" i="86"/>
  <c r="AI3" i="88" s="1"/>
  <c r="AI5" i="88" s="1"/>
  <c r="AJ3" i="86"/>
  <c r="AJ3" i="88" s="1"/>
  <c r="AJ7" i="88" s="1"/>
  <c r="AE19" i="59"/>
  <c r="AE17" i="59"/>
  <c r="AE21" i="59"/>
  <c r="AG28" i="59"/>
  <c r="AG26" i="59" s="1"/>
  <c r="AG24" i="59"/>
  <c r="AF25" i="59"/>
  <c r="AF23" i="59" s="1"/>
  <c r="AE23" i="59"/>
  <c r="AH24" i="59"/>
  <c r="AH28" i="59"/>
  <c r="AH26" i="59" s="1"/>
  <c r="AJ5" i="88" l="1"/>
  <c r="AI7" i="88"/>
  <c r="AH25" i="59"/>
  <c r="AF17" i="59"/>
  <c r="AF19" i="59"/>
  <c r="AF21" i="59"/>
  <c r="AG25" i="59"/>
  <c r="AG19" i="59" l="1"/>
  <c r="AG17" i="59"/>
  <c r="AG21" i="59"/>
  <c r="AG23" i="59"/>
  <c r="AH17" i="59"/>
  <c r="AH19" i="59"/>
  <c r="AH21" i="59"/>
  <c r="AH23" i="59"/>
</calcChain>
</file>

<file path=xl/sharedStrings.xml><?xml version="1.0" encoding="utf-8"?>
<sst xmlns="http://schemas.openxmlformats.org/spreadsheetml/2006/main" count="145" uniqueCount="102">
  <si>
    <t>A19</t>
  </si>
  <si>
    <t>A21</t>
  </si>
  <si>
    <t>%</t>
  </si>
  <si>
    <t>Fi46</t>
  </si>
  <si>
    <t>l/b/zi</t>
  </si>
  <si>
    <t>Op27</t>
  </si>
  <si>
    <t>ILI</t>
  </si>
  <si>
    <t>Op29</t>
  </si>
  <si>
    <t>Consum specific</t>
  </si>
  <si>
    <t>POPULATIE</t>
  </si>
  <si>
    <t>Nr. loc.</t>
  </si>
  <si>
    <t>Procent conectat</t>
  </si>
  <si>
    <t>Consumatori</t>
  </si>
  <si>
    <t xml:space="preserve"> l/ om / zi</t>
  </si>
  <si>
    <t>Cosum casnic</t>
  </si>
  <si>
    <t>Consum non-casnic</t>
  </si>
  <si>
    <t>Consum total</t>
  </si>
  <si>
    <t>mc /an</t>
  </si>
  <si>
    <t>mc/an</t>
  </si>
  <si>
    <t>Volum intrat</t>
  </si>
  <si>
    <t>ks</t>
  </si>
  <si>
    <t>kp</t>
  </si>
  <si>
    <t>A3</t>
  </si>
  <si>
    <t>Input total sistem (input apă brută)</t>
  </si>
  <si>
    <t>Coef. Pierderi</t>
  </si>
  <si>
    <t>Coef. Consum tehnologic</t>
  </si>
  <si>
    <t>Kp x ks</t>
  </si>
  <si>
    <t>Apa nevalorificata</t>
  </si>
  <si>
    <t>Consum apa</t>
  </si>
  <si>
    <t>factor</t>
  </si>
  <si>
    <t xml:space="preserve">Urban </t>
  </si>
  <si>
    <t>Rural</t>
  </si>
  <si>
    <t>Input</t>
  </si>
  <si>
    <t>Target consum specific:</t>
  </si>
  <si>
    <t>Scadere a pierderilor fizice 2024 [mc/an]:</t>
  </si>
  <si>
    <t>UARL</t>
  </si>
  <si>
    <t>Proiecţia principalilor indicatori macroeconomici (mai 2019) si estimarile Consultantului</t>
  </si>
  <si>
    <t>Rata de crestere a PIB in termeni reali, Romania</t>
  </si>
  <si>
    <t>Factor de elasticitate (venit)</t>
  </si>
  <si>
    <t>Factor de elasticitate (tarif)</t>
  </si>
  <si>
    <t>Factor elasticitate Calarasi-Ialomita</t>
  </si>
  <si>
    <t>estimat</t>
  </si>
  <si>
    <t>Factor elasticitate Mehedinti</t>
  </si>
  <si>
    <t>Factor elasticitate Sibiu-Brasov</t>
  </si>
  <si>
    <t>Consum Autorizat</t>
  </si>
  <si>
    <t>Consum Contorizat Facturat</t>
  </si>
  <si>
    <t>Consum Autorizat Facturat</t>
  </si>
  <si>
    <t>Volum Intrat in Sistem</t>
  </si>
  <si>
    <t>Consum Autorizat Nefacturat</t>
  </si>
  <si>
    <t>Consum Contorizat Nefacturat</t>
  </si>
  <si>
    <t>Consum Necontorizat Nefacturat</t>
  </si>
  <si>
    <t>Consum Necontorizat Facturat</t>
  </si>
  <si>
    <t>Pierderi Aparente</t>
  </si>
  <si>
    <t>Consum Neautorizat</t>
  </si>
  <si>
    <t>Erori contori si prelucrare date</t>
  </si>
  <si>
    <t>Pierderi Reale</t>
  </si>
  <si>
    <t>Consum tehnologic si Pierderi</t>
  </si>
  <si>
    <t>Apa Valorificata</t>
  </si>
  <si>
    <t>Apa Nevalorificata</t>
  </si>
  <si>
    <t>Urban</t>
  </si>
  <si>
    <t>Pierderi de apa</t>
  </si>
  <si>
    <t>Consum tehnologic ST</t>
  </si>
  <si>
    <t>Consum Tehnologic retea</t>
  </si>
  <si>
    <t>Total</t>
  </si>
  <si>
    <t>U.M.</t>
  </si>
  <si>
    <t>Pierderi</t>
  </si>
  <si>
    <t>A20</t>
  </si>
  <si>
    <t>A10</t>
  </si>
  <si>
    <t>A8</t>
  </si>
  <si>
    <t>A9</t>
  </si>
  <si>
    <t>A13</t>
  </si>
  <si>
    <t>A11</t>
  </si>
  <si>
    <t>A12</t>
  </si>
  <si>
    <t>A18</t>
  </si>
  <si>
    <t>A16</t>
  </si>
  <si>
    <t>A17</t>
  </si>
  <si>
    <t>mc/zi</t>
  </si>
  <si>
    <t>mc /zi</t>
  </si>
  <si>
    <t>Apa Nevalorificata (% din A3)</t>
  </si>
  <si>
    <t>Pierderi reale in retea</t>
  </si>
  <si>
    <t>Pierderi reale in retea (% din A3)</t>
  </si>
  <si>
    <t>Date retea</t>
  </si>
  <si>
    <t>Indicatori performanta</t>
  </si>
  <si>
    <t>Lungime retea</t>
  </si>
  <si>
    <t>km</t>
  </si>
  <si>
    <t>Numar bransmanete</t>
  </si>
  <si>
    <t>buc.</t>
  </si>
  <si>
    <t>Presiune medie</t>
  </si>
  <si>
    <t>mCA</t>
  </si>
  <si>
    <t>Lungime bransament*</t>
  </si>
  <si>
    <t>m</t>
  </si>
  <si>
    <t>Pierderi reale pe bransament</t>
  </si>
  <si>
    <t>Pierderi reala pe km conducta</t>
  </si>
  <si>
    <t>mc/km/zi</t>
  </si>
  <si>
    <t>D34</t>
  </si>
  <si>
    <t>C25</t>
  </si>
  <si>
    <t>C24</t>
  </si>
  <si>
    <t>C8</t>
  </si>
  <si>
    <t>Op28</t>
  </si>
  <si>
    <t>Prognoza Balanta Apei</t>
  </si>
  <si>
    <t>Indicatori de performanta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</si>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</sst>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l_e_i_-;\-* #,##0.00\ _l_e_i_-;_-* &quot;-&quot;??\ _l_e_i_-;_-@_-"/>
    <numFmt numFmtId="165" formatCode="_-* #,##0.00\ _R_O_N_-;\-* #,##0.00\ _R_O_N_-;_-* &quot;-&quot;??\ _R_O_N_-;_-@_-"/>
    <numFmt numFmtId="166" formatCode="0.0%"/>
    <numFmt numFmtId="167" formatCode="0.000"/>
    <numFmt numFmtId="168" formatCode="_(* #,##0.00_);_(* \(#,##0.00\);_(* &quot;-&quot;??_);_(@_)"/>
    <numFmt numFmtId="169" formatCode="#,##0.0"/>
  </numFmts>
  <fonts count="21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3" tint="-0.249977111117893"/>
      <name val="Calibri"/>
      <family val="2"/>
      <scheme val="minor"/>
    </font>
    <font>
      <sz val="10"/>
      <name val="Arial"/>
      <family val="2"/>
    </font>
    <font>
      <sz val="11"/>
      <color theme="3" tint="-0.249977111117893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name val="Arial"/>
      <family val="2"/>
    </font>
    <font>
      <b/>
      <sz val="10"/>
      <color indexed="12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i/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</patternFill>
    </fill>
    <fill>
      <patternFill patternType="solid">
        <fgColor theme="8" tint="0.79998168889431442"/>
        <bgColor indexed="65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9">
    <xf numFmtId="0" fontId="0" fillId="0" borderId="0"/>
    <xf numFmtId="0" fontId="4" fillId="3" borderId="0" applyNumberFormat="0" applyBorder="0" applyAlignment="0" applyProtection="0"/>
    <xf numFmtId="0" fontId="2" fillId="4" borderId="0" applyNumberFormat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11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226">
    <xf numFmtId="0" fontId="0" fillId="0" borderId="0" xfId="0"/>
    <xf numFmtId="3" fontId="0" fillId="0" borderId="0" xfId="0" applyNumberFormat="1"/>
    <xf numFmtId="3" fontId="0" fillId="0" borderId="1" xfId="0" applyNumberFormat="1" applyBorder="1"/>
    <xf numFmtId="3" fontId="1" fillId="0" borderId="1" xfId="0" applyNumberFormat="1" applyFont="1" applyBorder="1"/>
    <xf numFmtId="0" fontId="0" fillId="0" borderId="12" xfId="0" applyBorder="1"/>
    <xf numFmtId="2" fontId="0" fillId="0" borderId="1" xfId="0" applyNumberFormat="1" applyBorder="1"/>
    <xf numFmtId="2" fontId="0" fillId="0" borderId="14" xfId="0" applyNumberFormat="1" applyBorder="1"/>
    <xf numFmtId="10" fontId="0" fillId="0" borderId="1" xfId="0" applyNumberFormat="1" applyBorder="1"/>
    <xf numFmtId="0" fontId="0" fillId="0" borderId="1" xfId="0" applyBorder="1"/>
    <xf numFmtId="0" fontId="0" fillId="0" borderId="6" xfId="0" applyBorder="1"/>
    <xf numFmtId="0" fontId="0" fillId="0" borderId="5" xfId="0" applyBorder="1"/>
    <xf numFmtId="0" fontId="7" fillId="0" borderId="12" xfId="0" applyFont="1" applyBorder="1"/>
    <xf numFmtId="0" fontId="7" fillId="0" borderId="6" xfId="0" applyFont="1" applyBorder="1"/>
    <xf numFmtId="0" fontId="3" fillId="0" borderId="15" xfId="0" applyFont="1" applyBorder="1"/>
    <xf numFmtId="166" fontId="0" fillId="0" borderId="7" xfId="0" applyNumberFormat="1" applyFill="1" applyBorder="1"/>
    <xf numFmtId="166" fontId="0" fillId="0" borderId="7" xfId="0" applyNumberFormat="1" applyBorder="1"/>
    <xf numFmtId="0" fontId="5" fillId="3" borderId="21" xfId="1" applyFont="1" applyBorder="1"/>
    <xf numFmtId="10" fontId="0" fillId="0" borderId="10" xfId="0" applyNumberFormat="1" applyBorder="1"/>
    <xf numFmtId="3" fontId="0" fillId="6" borderId="1" xfId="0" applyNumberFormat="1" applyFill="1" applyBorder="1"/>
    <xf numFmtId="166" fontId="0" fillId="6" borderId="7" xfId="0" applyNumberFormat="1" applyFill="1" applyBorder="1"/>
    <xf numFmtId="10" fontId="0" fillId="6" borderId="1" xfId="0" applyNumberFormat="1" applyFill="1" applyBorder="1"/>
    <xf numFmtId="10" fontId="0" fillId="6" borderId="10" xfId="0" applyNumberFormat="1" applyFill="1" applyBorder="1"/>
    <xf numFmtId="3" fontId="0" fillId="6" borderId="10" xfId="0" applyNumberFormat="1" applyFill="1" applyBorder="1"/>
    <xf numFmtId="3" fontId="0" fillId="7" borderId="1" xfId="0" applyNumberFormat="1" applyFill="1" applyBorder="1"/>
    <xf numFmtId="10" fontId="9" fillId="6" borderId="10" xfId="0" applyNumberFormat="1" applyFont="1" applyFill="1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0" fillId="0" borderId="14" xfId="0" applyBorder="1" applyAlignment="1">
      <alignment horizontal="center"/>
    </xf>
    <xf numFmtId="2" fontId="0" fillId="0" borderId="7" xfId="0" applyNumberFormat="1" applyBorder="1"/>
    <xf numFmtId="164" fontId="3" fillId="5" borderId="0" xfId="6" applyNumberFormat="1" applyFont="1" applyFill="1" applyAlignment="1">
      <alignment horizontal="center"/>
    </xf>
    <xf numFmtId="0" fontId="0" fillId="0" borderId="13" xfId="0" applyBorder="1" applyAlignment="1">
      <alignment horizontal="center" vertical="center" wrapText="1"/>
    </xf>
    <xf numFmtId="0" fontId="0" fillId="0" borderId="14" xfId="0" applyBorder="1"/>
    <xf numFmtId="2" fontId="0" fillId="9" borderId="14" xfId="0" applyNumberFormat="1" applyFill="1" applyBorder="1"/>
    <xf numFmtId="2" fontId="10" fillId="0" borderId="14" xfId="0" applyNumberFormat="1" applyFont="1" applyBorder="1"/>
    <xf numFmtId="0" fontId="0" fillId="0" borderId="5" xfId="0" applyBorder="1" applyAlignment="1">
      <alignment horizontal="center" vertical="center" wrapText="1"/>
    </xf>
    <xf numFmtId="2" fontId="0" fillId="9" borderId="1" xfId="0" applyNumberFormat="1" applyFill="1" applyBorder="1"/>
    <xf numFmtId="2" fontId="10" fillId="0" borderId="1" xfId="0" applyNumberFormat="1" applyFont="1" applyBorder="1"/>
    <xf numFmtId="0" fontId="0" fillId="0" borderId="7" xfId="0" applyBorder="1"/>
    <xf numFmtId="167" fontId="0" fillId="0" borderId="8" xfId="0" applyNumberFormat="1" applyBorder="1"/>
    <xf numFmtId="3" fontId="0" fillId="0" borderId="10" xfId="0" applyNumberFormat="1" applyFill="1" applyBorder="1"/>
    <xf numFmtId="2" fontId="0" fillId="2" borderId="7" xfId="0" applyNumberFormat="1" applyFill="1" applyBorder="1"/>
    <xf numFmtId="3" fontId="0" fillId="0" borderId="7" xfId="0" applyNumberFormat="1" applyFill="1" applyBorder="1"/>
    <xf numFmtId="3" fontId="10" fillId="0" borderId="1" xfId="0" applyNumberFormat="1" applyFont="1" applyBorder="1"/>
    <xf numFmtId="2" fontId="10" fillId="2" borderId="14" xfId="0" applyNumberFormat="1" applyFont="1" applyFill="1" applyBorder="1"/>
    <xf numFmtId="2" fontId="10" fillId="2" borderId="1" xfId="0" applyNumberFormat="1" applyFont="1" applyFill="1" applyBorder="1"/>
    <xf numFmtId="3" fontId="0" fillId="0" borderId="1" xfId="0" applyNumberFormat="1" applyFill="1" applyBorder="1"/>
    <xf numFmtId="3" fontId="7" fillId="6" borderId="7" xfId="0" applyNumberFormat="1" applyFont="1" applyFill="1" applyBorder="1"/>
    <xf numFmtId="3" fontId="7" fillId="0" borderId="7" xfId="0" applyNumberFormat="1" applyFont="1" applyBorder="1"/>
    <xf numFmtId="3" fontId="0" fillId="0" borderId="10" xfId="0" applyNumberFormat="1" applyBorder="1"/>
    <xf numFmtId="2" fontId="13" fillId="0" borderId="14" xfId="0" applyNumberFormat="1" applyFont="1" applyBorder="1"/>
    <xf numFmtId="0" fontId="6" fillId="4" borderId="2" xfId="2" applyFont="1" applyBorder="1" applyAlignment="1"/>
    <xf numFmtId="0" fontId="6" fillId="4" borderId="3" xfId="2" applyFont="1" applyBorder="1" applyAlignment="1"/>
    <xf numFmtId="0" fontId="6" fillId="4" borderId="4" xfId="2" applyFont="1" applyBorder="1" applyAlignment="1"/>
    <xf numFmtId="9" fontId="15" fillId="10" borderId="28" xfId="4" applyFont="1" applyFill="1" applyBorder="1" applyAlignment="1">
      <alignment horizontal="center" vertical="center"/>
    </xf>
    <xf numFmtId="3" fontId="15" fillId="10" borderId="28" xfId="4" applyNumberFormat="1" applyFont="1" applyFill="1" applyBorder="1" applyAlignment="1">
      <alignment horizontal="center" vertical="center"/>
    </xf>
    <xf numFmtId="3" fontId="16" fillId="0" borderId="0" xfId="0" applyNumberFormat="1" applyFont="1" applyFill="1" applyAlignment="1">
      <alignment vertical="center"/>
    </xf>
    <xf numFmtId="3" fontId="17" fillId="10" borderId="28" xfId="4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3" fontId="12" fillId="0" borderId="10" xfId="0" applyNumberFormat="1" applyFont="1" applyFill="1" applyBorder="1"/>
    <xf numFmtId="169" fontId="0" fillId="6" borderId="1" xfId="0" applyNumberFormat="1" applyFont="1" applyFill="1" applyBorder="1" applyAlignment="1">
      <alignment vertical="center" wrapText="1"/>
    </xf>
    <xf numFmtId="0" fontId="0" fillId="0" borderId="0" xfId="0" applyAlignment="1">
      <alignment horizontal="center"/>
    </xf>
    <xf numFmtId="169" fontId="0" fillId="0" borderId="1" xfId="0" applyNumberFormat="1" applyFont="1" applyBorder="1" applyAlignment="1">
      <alignment vertical="center" wrapText="1"/>
    </xf>
    <xf numFmtId="3" fontId="0" fillId="0" borderId="1" xfId="0" applyNumberFormat="1" applyFont="1" applyBorder="1" applyAlignment="1">
      <alignment vertical="center" wrapText="1"/>
    </xf>
    <xf numFmtId="0" fontId="0" fillId="0" borderId="0" xfId="0" applyAlignment="1">
      <alignment horizontal="center"/>
    </xf>
    <xf numFmtId="0" fontId="18" fillId="0" borderId="0" xfId="0" applyFont="1"/>
    <xf numFmtId="0" fontId="18" fillId="0" borderId="0" xfId="0" applyFont="1" applyAlignment="1">
      <alignment horizontal="center" vertical="center"/>
    </xf>
    <xf numFmtId="3" fontId="14" fillId="0" borderId="0" xfId="0" applyNumberFormat="1" applyFont="1"/>
    <xf numFmtId="3" fontId="14" fillId="0" borderId="1" xfId="0" applyNumberFormat="1" applyFont="1" applyBorder="1" applyAlignment="1">
      <alignment horizontal="center"/>
    </xf>
    <xf numFmtId="166" fontId="14" fillId="2" borderId="1" xfId="4" applyNumberFormat="1" applyFont="1" applyFill="1" applyBorder="1" applyProtection="1">
      <protection locked="0"/>
    </xf>
    <xf numFmtId="166" fontId="14" fillId="0" borderId="1" xfId="4" applyNumberFormat="1" applyFont="1" applyBorder="1" applyProtection="1">
      <protection locked="0"/>
    </xf>
    <xf numFmtId="3" fontId="14" fillId="2" borderId="1" xfId="0" applyNumberFormat="1" applyFont="1" applyFill="1" applyBorder="1"/>
    <xf numFmtId="3" fontId="14" fillId="2" borderId="1" xfId="0" applyNumberFormat="1" applyFont="1" applyFill="1" applyBorder="1" applyAlignment="1">
      <alignment horizontal="center"/>
    </xf>
    <xf numFmtId="4" fontId="14" fillId="2" borderId="1" xfId="6" applyNumberFormat="1" applyFont="1" applyFill="1" applyBorder="1" applyAlignment="1" applyProtection="1">
      <alignment horizontal="center"/>
      <protection locked="0"/>
    </xf>
    <xf numFmtId="0" fontId="19" fillId="0" borderId="0" xfId="0" applyFont="1"/>
    <xf numFmtId="0" fontId="19" fillId="0" borderId="0" xfId="0" applyFont="1" applyAlignment="1">
      <alignment horizontal="center"/>
    </xf>
    <xf numFmtId="3" fontId="10" fillId="0" borderId="10" xfId="0" applyNumberFormat="1" applyFont="1" applyFill="1" applyBorder="1"/>
    <xf numFmtId="0" fontId="0" fillId="0" borderId="0" xfId="0" applyAlignment="1">
      <alignment horizontal="center"/>
    </xf>
    <xf numFmtId="169" fontId="3" fillId="0" borderId="1" xfId="0" applyNumberFormat="1" applyFont="1" applyBorder="1" applyAlignment="1">
      <alignment vertical="center" wrapText="1"/>
    </xf>
    <xf numFmtId="3" fontId="3" fillId="7" borderId="1" xfId="0" applyNumberFormat="1" applyFont="1" applyFill="1" applyBorder="1"/>
    <xf numFmtId="3" fontId="3" fillId="0" borderId="1" xfId="0" applyNumberFormat="1" applyFont="1" applyBorder="1" applyAlignment="1">
      <alignment vertical="center" wrapText="1"/>
    </xf>
    <xf numFmtId="2" fontId="12" fillId="0" borderId="14" xfId="0" applyNumberFormat="1" applyFont="1" applyBorder="1"/>
    <xf numFmtId="0" fontId="1" fillId="0" borderId="1" xfId="0" applyFont="1" applyBorder="1"/>
    <xf numFmtId="3" fontId="10" fillId="0" borderId="1" xfId="0" applyNumberFormat="1" applyFont="1" applyFill="1" applyBorder="1"/>
    <xf numFmtId="3" fontId="10" fillId="0" borderId="7" xfId="0" applyNumberFormat="1" applyFont="1" applyFill="1" applyBorder="1"/>
    <xf numFmtId="3" fontId="0" fillId="0" borderId="35" xfId="0" applyNumberFormat="1" applyFont="1" applyBorder="1" applyAlignment="1">
      <alignment vertical="center" wrapText="1"/>
    </xf>
    <xf numFmtId="3" fontId="0" fillId="0" borderId="7" xfId="0" applyNumberFormat="1" applyFont="1" applyBorder="1" applyAlignment="1">
      <alignment vertical="center" wrapText="1"/>
    </xf>
    <xf numFmtId="0" fontId="0" fillId="0" borderId="35" xfId="0" applyBorder="1" applyAlignment="1">
      <alignment horizontal="center"/>
    </xf>
    <xf numFmtId="0" fontId="5" fillId="3" borderId="21" xfId="1" applyFont="1" applyBorder="1" applyAlignment="1">
      <alignment horizontal="center"/>
    </xf>
    <xf numFmtId="0" fontId="5" fillId="3" borderId="22" xfId="1" applyFont="1" applyBorder="1"/>
    <xf numFmtId="3" fontId="10" fillId="0" borderId="35" xfId="0" applyNumberFormat="1" applyFont="1" applyBorder="1"/>
    <xf numFmtId="3" fontId="1" fillId="0" borderId="1" xfId="0" applyNumberFormat="1" applyFont="1" applyBorder="1" applyAlignment="1">
      <alignment vertical="center" wrapText="1"/>
    </xf>
    <xf numFmtId="3" fontId="3" fillId="0" borderId="16" xfId="0" applyNumberFormat="1" applyFont="1" applyBorder="1"/>
    <xf numFmtId="9" fontId="0" fillId="0" borderId="0" xfId="0" applyNumberFormat="1"/>
    <xf numFmtId="0" fontId="0" fillId="0" borderId="40" xfId="0" applyFont="1" applyBorder="1"/>
    <xf numFmtId="0" fontId="1" fillId="0" borderId="29" xfId="0" applyFont="1" applyBorder="1"/>
    <xf numFmtId="0" fontId="1" fillId="0" borderId="30" xfId="0" applyFont="1" applyBorder="1"/>
    <xf numFmtId="0" fontId="0" fillId="0" borderId="40" xfId="0" applyBorder="1"/>
    <xf numFmtId="0" fontId="0" fillId="0" borderId="30" xfId="0" applyFont="1" applyBorder="1"/>
    <xf numFmtId="0" fontId="0" fillId="0" borderId="3" xfId="0" applyFill="1" applyBorder="1" applyAlignment="1">
      <alignment horizontal="left" vertical="top" wrapText="1"/>
    </xf>
    <xf numFmtId="0" fontId="0" fillId="0" borderId="37" xfId="0" applyFill="1" applyBorder="1" applyAlignment="1">
      <alignment horizontal="left" vertical="top" wrapText="1"/>
    </xf>
    <xf numFmtId="0" fontId="0" fillId="0" borderId="31" xfId="0" applyFill="1" applyBorder="1" applyAlignment="1">
      <alignment horizontal="left" vertical="top" wrapText="1"/>
    </xf>
    <xf numFmtId="0" fontId="0" fillId="0" borderId="38" xfId="0" applyFill="1" applyBorder="1" applyAlignment="1">
      <alignment horizontal="left" vertical="top" wrapText="1"/>
    </xf>
    <xf numFmtId="3" fontId="3" fillId="0" borderId="35" xfId="0" applyNumberFormat="1" applyFont="1" applyFill="1" applyBorder="1" applyAlignment="1">
      <alignment vertical="center" wrapText="1"/>
    </xf>
    <xf numFmtId="3" fontId="0" fillId="0" borderId="35" xfId="0" applyNumberFormat="1" applyFont="1" applyFill="1" applyBorder="1" applyAlignment="1">
      <alignment vertical="center" wrapText="1"/>
    </xf>
    <xf numFmtId="3" fontId="10" fillId="0" borderId="36" xfId="0" applyNumberFormat="1" applyFont="1" applyFill="1" applyBorder="1" applyAlignment="1">
      <alignment vertical="center" wrapText="1"/>
    </xf>
    <xf numFmtId="3" fontId="1" fillId="0" borderId="1" xfId="0" applyNumberFormat="1" applyFont="1" applyFill="1" applyBorder="1"/>
    <xf numFmtId="3" fontId="20" fillId="0" borderId="1" xfId="0" applyNumberFormat="1" applyFont="1" applyFill="1" applyBorder="1"/>
    <xf numFmtId="3" fontId="1" fillId="0" borderId="9" xfId="0" applyNumberFormat="1" applyFont="1" applyFill="1" applyBorder="1"/>
    <xf numFmtId="3" fontId="6" fillId="0" borderId="1" xfId="0" applyNumberFormat="1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vertical="center" wrapText="1"/>
    </xf>
    <xf numFmtId="3" fontId="1" fillId="0" borderId="9" xfId="0" applyNumberFormat="1" applyFont="1" applyFill="1" applyBorder="1" applyAlignment="1">
      <alignment vertical="center" wrapText="1"/>
    </xf>
    <xf numFmtId="3" fontId="3" fillId="0" borderId="1" xfId="0" applyNumberFormat="1" applyFont="1" applyFill="1" applyBorder="1" applyAlignment="1">
      <alignment vertical="center" wrapText="1"/>
    </xf>
    <xf numFmtId="3" fontId="0" fillId="0" borderId="1" xfId="0" applyNumberFormat="1" applyFont="1" applyFill="1" applyBorder="1" applyAlignment="1">
      <alignment vertical="center" wrapText="1"/>
    </xf>
    <xf numFmtId="3" fontId="0" fillId="0" borderId="9" xfId="0" applyNumberFormat="1" applyFont="1" applyFill="1" applyBorder="1" applyAlignment="1">
      <alignment vertical="center" wrapText="1"/>
    </xf>
    <xf numFmtId="3" fontId="3" fillId="0" borderId="7" xfId="0" applyNumberFormat="1" applyFont="1" applyFill="1" applyBorder="1" applyAlignment="1">
      <alignment vertical="center" wrapText="1"/>
    </xf>
    <xf numFmtId="3" fontId="0" fillId="0" borderId="7" xfId="0" applyNumberFormat="1" applyFont="1" applyFill="1" applyBorder="1" applyAlignment="1">
      <alignment vertical="center" wrapText="1"/>
    </xf>
    <xf numFmtId="3" fontId="0" fillId="0" borderId="8" xfId="0" applyNumberFormat="1" applyFont="1" applyFill="1" applyBorder="1" applyAlignment="1">
      <alignment vertical="center" wrapText="1"/>
    </xf>
    <xf numFmtId="3" fontId="10" fillId="0" borderId="35" xfId="0" applyNumberFormat="1" applyFont="1" applyFill="1" applyBorder="1"/>
    <xf numFmtId="3" fontId="10" fillId="0" borderId="36" xfId="0" applyNumberFormat="1" applyFont="1" applyFill="1" applyBorder="1"/>
    <xf numFmtId="3" fontId="0" fillId="0" borderId="9" xfId="0" applyNumberFormat="1" applyFill="1" applyBorder="1"/>
    <xf numFmtId="3" fontId="12" fillId="0" borderId="1" xfId="0" applyNumberFormat="1" applyFont="1" applyFill="1" applyBorder="1"/>
    <xf numFmtId="3" fontId="12" fillId="0" borderId="7" xfId="0" applyNumberFormat="1" applyFont="1" applyFill="1" applyBorder="1"/>
    <xf numFmtId="3" fontId="0" fillId="0" borderId="8" xfId="0" applyNumberFormat="1" applyFill="1" applyBorder="1"/>
    <xf numFmtId="166" fontId="0" fillId="0" borderId="8" xfId="0" applyNumberFormat="1" applyFill="1" applyBorder="1"/>
    <xf numFmtId="3" fontId="7" fillId="0" borderId="8" xfId="0" applyNumberFormat="1" applyFont="1" applyFill="1" applyBorder="1"/>
    <xf numFmtId="10" fontId="0" fillId="0" borderId="9" xfId="0" applyNumberFormat="1" applyFill="1" applyBorder="1"/>
    <xf numFmtId="10" fontId="0" fillId="0" borderId="11" xfId="0" applyNumberFormat="1" applyFill="1" applyBorder="1"/>
    <xf numFmtId="0" fontId="0" fillId="0" borderId="0" xfId="0" applyAlignment="1">
      <alignment horizontal="center"/>
    </xf>
    <xf numFmtId="3" fontId="3" fillId="6" borderId="16" xfId="0" applyNumberFormat="1" applyFont="1" applyFill="1" applyBorder="1"/>
    <xf numFmtId="3" fontId="6" fillId="0" borderId="16" xfId="2" applyNumberFormat="1" applyFont="1" applyFill="1" applyBorder="1" applyAlignment="1"/>
    <xf numFmtId="0" fontId="0" fillId="0" borderId="1" xfId="0" applyFont="1" applyBorder="1" applyAlignment="1">
      <alignment horizontal="center"/>
    </xf>
    <xf numFmtId="3" fontId="0" fillId="0" borderId="1" xfId="0" applyNumberFormat="1" applyFont="1" applyBorder="1"/>
    <xf numFmtId="3" fontId="0" fillId="0" borderId="1" xfId="0" applyNumberFormat="1" applyFont="1" applyFill="1" applyBorder="1"/>
    <xf numFmtId="3" fontId="0" fillId="0" borderId="9" xfId="0" applyNumberFormat="1" applyFont="1" applyFill="1" applyBorder="1"/>
    <xf numFmtId="0" fontId="0" fillId="0" borderId="7" xfId="0" applyFont="1" applyBorder="1" applyAlignment="1">
      <alignment horizontal="center"/>
    </xf>
    <xf numFmtId="3" fontId="0" fillId="0" borderId="7" xfId="0" applyNumberFormat="1" applyFont="1" applyFill="1" applyBorder="1"/>
    <xf numFmtId="2" fontId="0" fillId="0" borderId="1" xfId="0" applyNumberFormat="1" applyFont="1" applyFill="1" applyBorder="1"/>
    <xf numFmtId="10" fontId="0" fillId="0" borderId="1" xfId="0" applyNumberFormat="1" applyFont="1" applyFill="1" applyBorder="1"/>
    <xf numFmtId="2" fontId="0" fillId="0" borderId="1" xfId="0" applyNumberFormat="1" applyFont="1" applyBorder="1"/>
    <xf numFmtId="2" fontId="10" fillId="0" borderId="1" xfId="0" applyNumberFormat="1" applyFont="1" applyFill="1" applyBorder="1"/>
    <xf numFmtId="0" fontId="0" fillId="0" borderId="1" xfId="0" applyFont="1" applyBorder="1"/>
    <xf numFmtId="10" fontId="0" fillId="0" borderId="1" xfId="0" applyNumberFormat="1" applyFont="1" applyFill="1" applyBorder="1" applyAlignment="1">
      <alignment vertical="center" wrapText="1"/>
    </xf>
    <xf numFmtId="10" fontId="0" fillId="0" borderId="1" xfId="0" applyNumberFormat="1" applyFont="1" applyBorder="1" applyAlignment="1">
      <alignment vertical="center" wrapText="1"/>
    </xf>
    <xf numFmtId="0" fontId="5" fillId="3" borderId="16" xfId="1" applyFont="1" applyBorder="1" applyAlignment="1">
      <alignment horizontal="center"/>
    </xf>
    <xf numFmtId="0" fontId="5" fillId="3" borderId="16" xfId="1" applyFont="1" applyBorder="1"/>
    <xf numFmtId="0" fontId="5" fillId="3" borderId="20" xfId="1" applyFont="1" applyBorder="1"/>
    <xf numFmtId="0" fontId="0" fillId="0" borderId="13" xfId="0" applyFill="1" applyBorder="1" applyAlignment="1">
      <alignment horizontal="left" vertical="top" wrapText="1"/>
    </xf>
    <xf numFmtId="0" fontId="2" fillId="0" borderId="14" xfId="2" applyFont="1" applyFill="1" applyBorder="1" applyAlignment="1"/>
    <xf numFmtId="0" fontId="0" fillId="0" borderId="14" xfId="0" applyFont="1" applyFill="1" applyBorder="1" applyAlignment="1">
      <alignment horizontal="center"/>
    </xf>
    <xf numFmtId="2" fontId="2" fillId="0" borderId="14" xfId="2" applyNumberFormat="1" applyFont="1" applyFill="1" applyBorder="1" applyAlignment="1"/>
    <xf numFmtId="2" fontId="2" fillId="0" borderId="46" xfId="2" applyNumberFormat="1" applyFont="1" applyFill="1" applyBorder="1" applyAlignment="1"/>
    <xf numFmtId="0" fontId="0" fillId="0" borderId="5" xfId="0" applyFill="1" applyBorder="1" applyAlignment="1">
      <alignment horizontal="left" vertical="top" wrapText="1"/>
    </xf>
    <xf numFmtId="2" fontId="0" fillId="0" borderId="9" xfId="0" applyNumberFormat="1" applyFont="1" applyFill="1" applyBorder="1"/>
    <xf numFmtId="10" fontId="10" fillId="0" borderId="9" xfId="0" applyNumberFormat="1" applyFont="1" applyFill="1" applyBorder="1" applyAlignment="1">
      <alignment vertical="center" wrapText="1"/>
    </xf>
    <xf numFmtId="10" fontId="0" fillId="0" borderId="9" xfId="0" applyNumberFormat="1" applyFont="1" applyFill="1" applyBorder="1"/>
    <xf numFmtId="0" fontId="0" fillId="0" borderId="6" xfId="0" applyFill="1" applyBorder="1" applyAlignment="1">
      <alignment horizontal="left" vertical="top" wrapText="1"/>
    </xf>
    <xf numFmtId="0" fontId="6" fillId="4" borderId="39" xfId="2" applyFont="1" applyBorder="1" applyAlignment="1"/>
    <xf numFmtId="0" fontId="0" fillId="0" borderId="45" xfId="0" applyFill="1" applyBorder="1" applyAlignment="1">
      <alignment horizontal="left" vertical="top" wrapText="1"/>
    </xf>
    <xf numFmtId="2" fontId="10" fillId="0" borderId="14" xfId="0" applyNumberFormat="1" applyFont="1" applyFill="1" applyBorder="1"/>
    <xf numFmtId="2" fontId="10" fillId="0" borderId="46" xfId="0" applyNumberFormat="1" applyFont="1" applyFill="1" applyBorder="1"/>
    <xf numFmtId="2" fontId="0" fillId="0" borderId="1" xfId="0" applyNumberFormat="1" applyFont="1" applyBorder="1" applyAlignment="1">
      <alignment vertical="center" wrapText="1"/>
    </xf>
    <xf numFmtId="2" fontId="0" fillId="0" borderId="1" xfId="0" applyNumberFormat="1" applyFont="1" applyFill="1" applyBorder="1" applyAlignment="1">
      <alignment vertical="center" wrapText="1"/>
    </xf>
    <xf numFmtId="2" fontId="0" fillId="0" borderId="9" xfId="0" applyNumberFormat="1" applyFont="1" applyFill="1" applyBorder="1" applyAlignment="1">
      <alignment vertical="center" wrapText="1"/>
    </xf>
    <xf numFmtId="3" fontId="3" fillId="0" borderId="20" xfId="0" applyNumberFormat="1" applyFont="1" applyFill="1" applyBorder="1"/>
    <xf numFmtId="2" fontId="3" fillId="0" borderId="1" xfId="0" applyNumberFormat="1" applyFont="1" applyFill="1" applyBorder="1"/>
    <xf numFmtId="2" fontId="3" fillId="0" borderId="9" xfId="0" applyNumberFormat="1" applyFont="1" applyFill="1" applyBorder="1"/>
    <xf numFmtId="2" fontId="3" fillId="0" borderId="7" xfId="0" applyNumberFormat="1" applyFont="1" applyFill="1" applyBorder="1"/>
    <xf numFmtId="2" fontId="3" fillId="0" borderId="7" xfId="0" applyNumberFormat="1" applyFont="1" applyBorder="1" applyAlignment="1">
      <alignment vertical="center" wrapText="1"/>
    </xf>
    <xf numFmtId="2" fontId="3" fillId="0" borderId="7" xfId="0" applyNumberFormat="1" applyFont="1" applyFill="1" applyBorder="1" applyAlignment="1">
      <alignment vertical="center" wrapText="1"/>
    </xf>
    <xf numFmtId="2" fontId="3" fillId="0" borderId="8" xfId="0" applyNumberFormat="1" applyFont="1" applyFill="1" applyBorder="1" applyAlignment="1">
      <alignment vertical="center" wrapText="1"/>
    </xf>
    <xf numFmtId="3" fontId="6" fillId="0" borderId="20" xfId="2" applyNumberFormat="1" applyFont="1" applyFill="1" applyBorder="1" applyAlignment="1"/>
    <xf numFmtId="3" fontId="6" fillId="6" borderId="16" xfId="2" applyNumberFormat="1" applyFont="1" applyFill="1" applyBorder="1" applyAlignment="1"/>
    <xf numFmtId="3" fontId="0" fillId="6" borderId="35" xfId="0" applyNumberFormat="1" applyFont="1" applyFill="1" applyBorder="1" applyAlignment="1">
      <alignment vertical="center" wrapText="1"/>
    </xf>
    <xf numFmtId="3" fontId="1" fillId="6" borderId="1" xfId="0" applyNumberFormat="1" applyFont="1" applyFill="1" applyBorder="1"/>
    <xf numFmtId="3" fontId="1" fillId="6" borderId="7" xfId="0" applyNumberFormat="1" applyFont="1" applyFill="1" applyBorder="1"/>
    <xf numFmtId="3" fontId="0" fillId="6" borderId="35" xfId="0" applyNumberFormat="1" applyFill="1" applyBorder="1"/>
    <xf numFmtId="3" fontId="0" fillId="6" borderId="7" xfId="0" applyNumberFormat="1" applyFill="1" applyBorder="1"/>
    <xf numFmtId="0" fontId="6" fillId="0" borderId="16" xfId="2" applyFont="1" applyFill="1" applyBorder="1" applyAlignment="1"/>
    <xf numFmtId="0" fontId="6" fillId="0" borderId="16" xfId="0" applyFont="1" applyFill="1" applyBorder="1" applyAlignment="1">
      <alignment horizontal="center"/>
    </xf>
    <xf numFmtId="3" fontId="0" fillId="0" borderId="36" xfId="0" applyNumberFormat="1" applyFont="1" applyFill="1" applyBorder="1" applyAlignment="1">
      <alignment vertical="center" wrapText="1"/>
    </xf>
    <xf numFmtId="0" fontId="3" fillId="0" borderId="13" xfId="0" applyFont="1" applyBorder="1"/>
    <xf numFmtId="0" fontId="3" fillId="0" borderId="14" xfId="0" applyFont="1" applyBorder="1" applyAlignment="1">
      <alignment horizontal="center"/>
    </xf>
    <xf numFmtId="3" fontId="3" fillId="6" borderId="14" xfId="0" applyNumberFormat="1" applyFont="1" applyFill="1" applyBorder="1"/>
    <xf numFmtId="3" fontId="3" fillId="0" borderId="14" xfId="0" applyNumberFormat="1" applyFont="1" applyBorder="1" applyAlignment="1">
      <alignment vertical="center" wrapText="1"/>
    </xf>
    <xf numFmtId="3" fontId="3" fillId="0" borderId="14" xfId="0" applyNumberFormat="1" applyFont="1" applyFill="1" applyBorder="1" applyAlignment="1">
      <alignment vertical="center" wrapText="1"/>
    </xf>
    <xf numFmtId="3" fontId="3" fillId="0" borderId="46" xfId="0" applyNumberFormat="1" applyFont="1" applyFill="1" applyBorder="1" applyAlignment="1">
      <alignment vertical="center" wrapText="1"/>
    </xf>
    <xf numFmtId="3" fontId="3" fillId="0" borderId="14" xfId="0" applyNumberFormat="1" applyFont="1" applyFill="1" applyBorder="1"/>
    <xf numFmtId="3" fontId="3" fillId="0" borderId="14" xfId="0" applyNumberFormat="1" applyFont="1" applyBorder="1"/>
    <xf numFmtId="3" fontId="12" fillId="0" borderId="14" xfId="0" applyNumberFormat="1" applyFont="1" applyFill="1" applyBorder="1"/>
    <xf numFmtId="3" fontId="3" fillId="0" borderId="46" xfId="0" applyNumberFormat="1" applyFont="1" applyFill="1" applyBorder="1"/>
    <xf numFmtId="169" fontId="10" fillId="0" borderId="9" xfId="0" applyNumberFormat="1" applyFont="1" applyFill="1" applyBorder="1" applyAlignment="1">
      <alignment vertical="center" wrapText="1"/>
    </xf>
    <xf numFmtId="3" fontId="10" fillId="0" borderId="9" xfId="0" applyNumberFormat="1" applyFont="1" applyFill="1" applyBorder="1"/>
    <xf numFmtId="3" fontId="0" fillId="0" borderId="11" xfId="0" applyNumberFormat="1" applyFill="1" applyBorder="1"/>
    <xf numFmtId="0" fontId="5" fillId="3" borderId="2" xfId="1" applyFont="1" applyBorder="1" applyAlignment="1">
      <alignment horizontal="center"/>
    </xf>
    <xf numFmtId="0" fontId="5" fillId="3" borderId="23" xfId="1" applyFont="1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6" fillId="4" borderId="2" xfId="2" applyFont="1" applyBorder="1" applyAlignment="1">
      <alignment horizontal="left"/>
    </xf>
    <xf numFmtId="0" fontId="6" fillId="4" borderId="3" xfId="2" applyFont="1" applyBorder="1" applyAlignment="1">
      <alignment horizontal="left"/>
    </xf>
    <xf numFmtId="0" fontId="6" fillId="4" borderId="4" xfId="2" applyFont="1" applyBorder="1" applyAlignment="1">
      <alignment horizontal="left"/>
    </xf>
    <xf numFmtId="0" fontId="0" fillId="8" borderId="24" xfId="0" applyFill="1" applyBorder="1" applyAlignment="1">
      <alignment horizontal="center" vertical="top" wrapText="1"/>
    </xf>
    <xf numFmtId="0" fontId="0" fillId="8" borderId="25" xfId="0" applyFill="1" applyBorder="1" applyAlignment="1">
      <alignment horizontal="center" vertical="top" wrapText="1"/>
    </xf>
    <xf numFmtId="0" fontId="0" fillId="8" borderId="26" xfId="0" applyFill="1" applyBorder="1" applyAlignment="1">
      <alignment horizontal="center" vertical="top" wrapText="1"/>
    </xf>
    <xf numFmtId="0" fontId="0" fillId="8" borderId="32" xfId="0" applyFill="1" applyBorder="1" applyAlignment="1">
      <alignment horizontal="center" vertical="top" wrapText="1"/>
    </xf>
    <xf numFmtId="0" fontId="0" fillId="8" borderId="33" xfId="0" applyFill="1" applyBorder="1" applyAlignment="1">
      <alignment horizontal="center" vertical="top" wrapText="1"/>
    </xf>
    <xf numFmtId="0" fontId="0" fillId="8" borderId="34" xfId="0" applyFill="1" applyBorder="1" applyAlignment="1">
      <alignment horizontal="center" vertical="top" wrapText="1"/>
    </xf>
    <xf numFmtId="0" fontId="3" fillId="0" borderId="24" xfId="0" applyFont="1" applyBorder="1" applyAlignment="1">
      <alignment vertical="center" textRotation="90"/>
    </xf>
    <xf numFmtId="0" fontId="3" fillId="0" borderId="25" xfId="0" applyFont="1" applyBorder="1" applyAlignment="1">
      <alignment vertical="center" textRotation="90"/>
    </xf>
    <xf numFmtId="0" fontId="3" fillId="0" borderId="26" xfId="0" applyFont="1" applyBorder="1" applyAlignment="1">
      <alignment vertical="center" textRotation="90"/>
    </xf>
    <xf numFmtId="0" fontId="5" fillId="3" borderId="42" xfId="1" applyFont="1" applyBorder="1" applyAlignment="1">
      <alignment horizontal="center"/>
    </xf>
    <xf numFmtId="0" fontId="5" fillId="3" borderId="41" xfId="1" applyFont="1" applyBorder="1" applyAlignment="1">
      <alignment horizontal="center"/>
    </xf>
    <xf numFmtId="0" fontId="0" fillId="0" borderId="48" xfId="0" applyBorder="1" applyAlignment="1">
      <alignment horizontal="center"/>
    </xf>
    <xf numFmtId="0" fontId="3" fillId="0" borderId="21" xfId="0" applyFont="1" applyBorder="1" applyAlignment="1">
      <alignment horizontal="center" vertical="center" textRotation="90"/>
    </xf>
    <xf numFmtId="0" fontId="3" fillId="0" borderId="47" xfId="0" applyFont="1" applyBorder="1" applyAlignment="1">
      <alignment horizontal="center" vertical="center" textRotation="90"/>
    </xf>
    <xf numFmtId="0" fontId="3" fillId="0" borderId="27" xfId="0" applyFont="1" applyBorder="1" applyAlignment="1">
      <alignment horizontal="center" vertical="center" textRotation="90"/>
    </xf>
    <xf numFmtId="0" fontId="0" fillId="8" borderId="43" xfId="0" applyFill="1" applyBorder="1" applyAlignment="1">
      <alignment horizontal="center" vertical="top" wrapText="1"/>
    </xf>
    <xf numFmtId="0" fontId="0" fillId="8" borderId="44" xfId="0" applyFill="1" applyBorder="1" applyAlignment="1">
      <alignment horizontal="center" vertical="top" wrapText="1"/>
    </xf>
    <xf numFmtId="0" fontId="3" fillId="0" borderId="14" xfId="0" applyFont="1" applyBorder="1" applyAlignment="1">
      <alignment vertical="center" textRotation="90"/>
    </xf>
    <xf numFmtId="0" fontId="3" fillId="0" borderId="1" xfId="0" applyFont="1" applyBorder="1" applyAlignment="1">
      <alignment vertical="center" textRotation="90"/>
    </xf>
    <xf numFmtId="0" fontId="3" fillId="0" borderId="7" xfId="0" applyFont="1" applyBorder="1" applyAlignment="1">
      <alignment vertical="center" textRotation="90"/>
    </xf>
  </cellXfs>
  <cellStyles count="9">
    <cellStyle name="20% - Accent5 2" xfId="2" xr:uid="{00000000-0005-0000-0000-000000000000}"/>
    <cellStyle name="Accent1 2" xfId="1" xr:uid="{00000000-0005-0000-0000-000001000000}"/>
    <cellStyle name="Comma" xfId="6" builtinId="3"/>
    <cellStyle name="Normal" xfId="0" builtinId="0"/>
    <cellStyle name="Normal 2" xfId="3" xr:uid="{00000000-0005-0000-0000-000003000000}"/>
    <cellStyle name="Normal 3" xfId="5" xr:uid="{00000000-0005-0000-0000-000004000000}"/>
    <cellStyle name="Percent 2" xfId="8" xr:uid="{00000000-0005-0000-0000-000005000000}"/>
    <cellStyle name="Percent 3" xfId="4" xr:uid="{00000000-0005-0000-0000-000006000000}"/>
    <cellStyle name="Virgulă 2" xfId="7" xr:uid="{00000000-0005-0000-0000-000008000000}"/>
  </cellStyles>
  <dxfs count="0"/>
  <tableStyles count="0" defaultTableStyle="TableStyleMedium2" defaultPivotStyle="PivotStyleLight16"/>
  <colors>
    <mruColors>
      <color rgb="FF00FF00"/>
      <color rgb="FFA6E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OIM%20ATMP/COVASNA/%23DATE/Prognoza%20Pop.Rezidenta_COVASNA-2020-206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OIM%20ATMP/COVASNA/%23DATE/Prognoza_2019_2023_varianta_de_iarna_20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OIM%20ATMP/COVASNA/Prognoza%20MP/Balanta%20Apa/BA%202019%20TG%20SECUIESC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ASNA_POP FORECAST_2020-2060"/>
      <sheetName val="TEMPO_POP105A_21_10_2019"/>
      <sheetName val="Prognoza Pop"/>
      <sheetName val="Populatie OK"/>
    </sheetNames>
    <sheetDataSet>
      <sheetData sheetId="0">
        <row r="8">
          <cell r="K8">
            <v>53307.672019918456</v>
          </cell>
        </row>
        <row r="13">
          <cell r="K13">
            <v>17600.117189592405</v>
          </cell>
          <cell r="L13">
            <v>17447.693138645587</v>
          </cell>
          <cell r="M13">
            <v>17293.573014868602</v>
          </cell>
          <cell r="N13">
            <v>17176.596855707205</v>
          </cell>
          <cell r="O13">
            <v>17060.411939731955</v>
          </cell>
          <cell r="P13">
            <v>16945.012914862702</v>
          </cell>
          <cell r="Q13">
            <v>16830.394465221518</v>
          </cell>
          <cell r="R13">
            <v>16716.551310887819</v>
          </cell>
          <cell r="S13">
            <v>16603.478207655138</v>
          </cell>
          <cell r="T13">
            <v>16491.169946789581</v>
          </cell>
          <cell r="U13">
            <v>16379.621354789844</v>
          </cell>
          <cell r="V13">
            <v>16268.827293148914</v>
          </cell>
          <cell r="W13">
            <v>16158.782658117369</v>
          </cell>
          <cell r="X13">
            <v>16067.240994284221</v>
          </cell>
          <cell r="Y13">
            <v>15976.217926213802</v>
          </cell>
          <cell r="Z13">
            <v>15885.71051599179</v>
          </cell>
          <cell r="AA13">
            <v>15795.715842347541</v>
          </cell>
          <cell r="AB13">
            <v>15706.231000559805</v>
          </cell>
          <cell r="AC13">
            <v>15617.253102362953</v>
          </cell>
          <cell r="AD13">
            <v>15528.77927585378</v>
          </cell>
          <cell r="AE13">
            <v>15440.806665398792</v>
          </cell>
          <cell r="AF13">
            <v>15353.332431542043</v>
          </cell>
          <cell r="AG13">
            <v>15266.353750913479</v>
          </cell>
          <cell r="AH13">
            <v>15217.770064983491</v>
          </cell>
          <cell r="AI13">
            <v>15169.340991908482</v>
          </cell>
          <cell r="AJ13">
            <v>15121.06603964808</v>
          </cell>
          <cell r="AK13">
            <v>15072.944717727778</v>
          </cell>
          <cell r="AL13">
            <v>15024.976537233968</v>
          </cell>
          <cell r="AM13">
            <v>14977.161010808954</v>
          </cell>
          <cell r="AN13">
            <v>14929.497652646009</v>
          </cell>
          <cell r="AO13">
            <v>14881.985978484438</v>
          </cell>
        </row>
      </sheetData>
      <sheetData sheetId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perta"/>
      <sheetName val="pag 1"/>
      <sheetName val="pag 2"/>
      <sheetName val="Sheet1"/>
    </sheetNames>
    <sheetDataSet>
      <sheetData sheetId="0"/>
      <sheetData sheetId="1">
        <row r="7">
          <cell r="C7">
            <v>4.0999999999999996</v>
          </cell>
          <cell r="D7">
            <v>4.0999999999999996</v>
          </cell>
          <cell r="E7">
            <v>4.2</v>
          </cell>
          <cell r="F7">
            <v>4.2</v>
          </cell>
          <cell r="G7">
            <v>4</v>
          </cell>
        </row>
      </sheetData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Sys. Input"/>
      <sheetName val="Billed Cons"/>
      <sheetName val="Unb. Cons."/>
      <sheetName val="Unauth. Cons."/>
      <sheetName val="Meter Errors"/>
      <sheetName val="Network"/>
      <sheetName val="Pressure"/>
      <sheetName val="Intermittent Supply"/>
      <sheetName val="Financial Data"/>
      <sheetName val="Water Balance m3day"/>
      <sheetName val="Water Balance m3"/>
      <sheetName val="Water Balance m3year"/>
      <sheetName val="PIs"/>
      <sheetName val="WHAT IF"/>
      <sheetName val="Historic Data"/>
      <sheetName val="Getting Started"/>
      <sheetName val="Language 1"/>
      <sheetName val="Language 2"/>
      <sheetName val="Language 3"/>
      <sheetName val="Used Language"/>
      <sheetName val="Matrix"/>
      <sheetName val="Matrix (2)"/>
    </sheetNames>
    <sheetDataSet>
      <sheetData sheetId="0">
        <row r="17">
          <cell r="H17" t="str">
            <v>Tg Secuiesc</v>
          </cell>
        </row>
      </sheetData>
      <sheetData sheetId="1"/>
      <sheetData sheetId="2">
        <row r="8">
          <cell r="D8">
            <v>477706</v>
          </cell>
          <cell r="H8"/>
        </row>
        <row r="9">
          <cell r="D9">
            <v>115578</v>
          </cell>
          <cell r="H9"/>
        </row>
        <row r="10">
          <cell r="D10">
            <v>62051</v>
          </cell>
          <cell r="H10"/>
        </row>
      </sheetData>
      <sheetData sheetId="3"/>
      <sheetData sheetId="4"/>
      <sheetData sheetId="5"/>
      <sheetData sheetId="6">
        <row r="28">
          <cell r="D28">
            <v>48</v>
          </cell>
        </row>
        <row r="30">
          <cell r="H30">
            <v>2340</v>
          </cell>
        </row>
      </sheetData>
      <sheetData sheetId="7">
        <row r="33">
          <cell r="F33">
            <v>35</v>
          </cell>
        </row>
      </sheetData>
      <sheetData sheetId="8"/>
      <sheetData sheetId="9"/>
      <sheetData sheetId="10"/>
      <sheetData sheetId="11">
        <row r="16">
          <cell r="T16">
            <v>139006</v>
          </cell>
        </row>
      </sheetData>
      <sheetData sheetId="12">
        <row r="4">
          <cell r="AC4">
            <v>655335</v>
          </cell>
        </row>
        <row r="8">
          <cell r="T8">
            <v>655335</v>
          </cell>
          <cell r="AY8">
            <v>655335</v>
          </cell>
        </row>
        <row r="9">
          <cell r="AC9">
            <v>0</v>
          </cell>
        </row>
        <row r="14">
          <cell r="AC14">
            <v>0</v>
          </cell>
        </row>
        <row r="16">
          <cell r="T16">
            <v>139006</v>
          </cell>
        </row>
        <row r="19">
          <cell r="AC19">
            <v>139006</v>
          </cell>
        </row>
        <row r="24">
          <cell r="AC24">
            <v>0</v>
          </cell>
          <cell r="AY24">
            <v>807869</v>
          </cell>
        </row>
        <row r="26">
          <cell r="T26">
            <v>34491.315789473709</v>
          </cell>
        </row>
        <row r="29">
          <cell r="AC29">
            <v>34491.315789473709</v>
          </cell>
        </row>
        <row r="34">
          <cell r="T34">
            <v>634371.68421052629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2:AI31"/>
  <sheetViews>
    <sheetView tabSelected="1" topLeftCell="A4" zoomScale="80" zoomScaleNormal="80" workbookViewId="0">
      <selection activeCell="J13" sqref="J13"/>
    </sheetView>
  </sheetViews>
  <sheetFormatPr defaultRowHeight="15" outlineLevelCol="1" x14ac:dyDescent="0.25"/>
  <cols>
    <col min="1" max="1" width="15.28515625" customWidth="1"/>
    <col min="2" max="2" width="27.5703125" customWidth="1"/>
    <col min="3" max="3" width="15.140625" style="67" customWidth="1"/>
    <col min="4" max="4" width="11.140625" customWidth="1"/>
    <col min="5" max="5" width="11.5703125" customWidth="1" outlineLevel="1"/>
    <col min="6" max="6" width="10.5703125" customWidth="1" outlineLevel="1"/>
    <col min="7" max="9" width="12.5703125" customWidth="1" outlineLevel="1"/>
    <col min="10" max="10" width="12.5703125" customWidth="1"/>
    <col min="11" max="11" width="12.5703125" customWidth="1" outlineLevel="1"/>
    <col min="12" max="13" width="10.140625" customWidth="1" outlineLevel="1"/>
    <col min="14" max="14" width="12.5703125" customWidth="1" outlineLevel="1"/>
    <col min="15" max="21" width="10.140625" customWidth="1" outlineLevel="1"/>
    <col min="22" max="22" width="10.5703125" customWidth="1" outlineLevel="1"/>
    <col min="23" max="23" width="12.5703125" customWidth="1" outlineLevel="1"/>
    <col min="24" max="33" width="10.140625" customWidth="1" outlineLevel="1"/>
    <col min="34" max="34" width="10.140625" customWidth="1"/>
  </cols>
  <sheetData>
    <row r="2" spans="1:34" x14ac:dyDescent="0.25">
      <c r="B2" s="202" t="s">
        <v>33</v>
      </c>
      <c r="C2" s="202"/>
      <c r="D2" s="63">
        <v>2024</v>
      </c>
      <c r="E2" s="64">
        <v>2048</v>
      </c>
    </row>
    <row r="4" spans="1:34" x14ac:dyDescent="0.25">
      <c r="B4" s="59" t="s">
        <v>32</v>
      </c>
      <c r="C4" s="61" t="s">
        <v>30</v>
      </c>
      <c r="D4" s="60">
        <v>100</v>
      </c>
      <c r="E4" s="60">
        <v>110</v>
      </c>
    </row>
    <row r="5" spans="1:34" x14ac:dyDescent="0.25">
      <c r="B5" s="59" t="s">
        <v>32</v>
      </c>
      <c r="C5" s="61" t="s">
        <v>31</v>
      </c>
      <c r="D5" s="60">
        <v>80</v>
      </c>
      <c r="E5" s="60">
        <v>90</v>
      </c>
    </row>
    <row r="6" spans="1:34" ht="15.75" thickBot="1" x14ac:dyDescent="0.3"/>
    <row r="7" spans="1:34" x14ac:dyDescent="0.25">
      <c r="A7" s="206"/>
      <c r="B7" s="200" t="str">
        <f>[3]Start!$H$17</f>
        <v>Tg Secuiesc</v>
      </c>
      <c r="C7" s="201"/>
      <c r="D7" s="16">
        <v>2018</v>
      </c>
      <c r="E7" s="16">
        <v>2019</v>
      </c>
      <c r="F7" s="16">
        <v>2020</v>
      </c>
      <c r="G7" s="16">
        <v>2021</v>
      </c>
      <c r="H7" s="16">
        <v>2022</v>
      </c>
      <c r="I7" s="16">
        <v>2023</v>
      </c>
      <c r="J7" s="16">
        <v>2024</v>
      </c>
      <c r="K7" s="16">
        <v>2025</v>
      </c>
      <c r="L7" s="16">
        <v>2026</v>
      </c>
      <c r="M7" s="16">
        <v>2027</v>
      </c>
      <c r="N7" s="16">
        <v>2028</v>
      </c>
      <c r="O7" s="16">
        <v>2029</v>
      </c>
      <c r="P7" s="16">
        <v>2030</v>
      </c>
      <c r="Q7" s="16">
        <v>2031</v>
      </c>
      <c r="R7" s="16">
        <v>2032</v>
      </c>
      <c r="S7" s="16">
        <v>2033</v>
      </c>
      <c r="T7" s="16">
        <v>2034</v>
      </c>
      <c r="U7" s="16">
        <v>2035</v>
      </c>
      <c r="V7" s="16">
        <v>2036</v>
      </c>
      <c r="W7" s="16">
        <v>2037</v>
      </c>
      <c r="X7" s="16">
        <v>2038</v>
      </c>
      <c r="Y7" s="16">
        <v>2039</v>
      </c>
      <c r="Z7" s="16">
        <v>2040</v>
      </c>
      <c r="AA7" s="16">
        <v>2041</v>
      </c>
      <c r="AB7" s="16">
        <v>2042</v>
      </c>
      <c r="AC7" s="16">
        <v>2043</v>
      </c>
      <c r="AD7" s="16">
        <v>2044</v>
      </c>
      <c r="AE7" s="16">
        <v>2045</v>
      </c>
      <c r="AF7" s="16">
        <v>2046</v>
      </c>
      <c r="AG7" s="16">
        <v>2047</v>
      </c>
      <c r="AH7" s="95">
        <v>2048</v>
      </c>
    </row>
    <row r="8" spans="1:34" x14ac:dyDescent="0.25">
      <c r="A8" s="207"/>
      <c r="B8" s="10" t="s">
        <v>9</v>
      </c>
      <c r="C8" s="26" t="s">
        <v>10</v>
      </c>
      <c r="D8" s="18">
        <f>'[1]COVASNA_POP FORECAST_2020-2060'!K13</f>
        <v>17600.117189592405</v>
      </c>
      <c r="E8" s="23">
        <f>'[1]COVASNA_POP FORECAST_2020-2060'!L13</f>
        <v>17447.693138645587</v>
      </c>
      <c r="F8" s="23">
        <f>'[1]COVASNA_POP FORECAST_2020-2060'!M13</f>
        <v>17293.573014868602</v>
      </c>
      <c r="G8" s="23">
        <f>'[1]COVASNA_POP FORECAST_2020-2060'!N13</f>
        <v>17176.596855707205</v>
      </c>
      <c r="H8" s="23">
        <f>'[1]COVASNA_POP FORECAST_2020-2060'!O13</f>
        <v>17060.411939731955</v>
      </c>
      <c r="I8" s="23">
        <f>'[1]COVASNA_POP FORECAST_2020-2060'!P13</f>
        <v>16945.012914862702</v>
      </c>
      <c r="J8" s="85">
        <f>'[1]COVASNA_POP FORECAST_2020-2060'!Q13</f>
        <v>16830.394465221518</v>
      </c>
      <c r="K8" s="23">
        <f>'[1]COVASNA_POP FORECAST_2020-2060'!R13</f>
        <v>16716.551310887819</v>
      </c>
      <c r="L8" s="23">
        <f>'[1]COVASNA_POP FORECAST_2020-2060'!S13</f>
        <v>16603.478207655138</v>
      </c>
      <c r="M8" s="23">
        <f>'[1]COVASNA_POP FORECAST_2020-2060'!T13</f>
        <v>16491.169946789581</v>
      </c>
      <c r="N8" s="23">
        <f>'[1]COVASNA_POP FORECAST_2020-2060'!U13</f>
        <v>16379.621354789844</v>
      </c>
      <c r="O8" s="23">
        <f>'[1]COVASNA_POP FORECAST_2020-2060'!V13</f>
        <v>16268.827293148914</v>
      </c>
      <c r="P8" s="23">
        <f>'[1]COVASNA_POP FORECAST_2020-2060'!W13</f>
        <v>16158.782658117369</v>
      </c>
      <c r="Q8" s="23">
        <f>'[1]COVASNA_POP FORECAST_2020-2060'!X13</f>
        <v>16067.240994284221</v>
      </c>
      <c r="R8" s="23">
        <f>'[1]COVASNA_POP FORECAST_2020-2060'!Y13</f>
        <v>15976.217926213802</v>
      </c>
      <c r="S8" s="23">
        <f>'[1]COVASNA_POP FORECAST_2020-2060'!Z13</f>
        <v>15885.71051599179</v>
      </c>
      <c r="T8" s="23">
        <f>'[1]COVASNA_POP FORECAST_2020-2060'!AA13</f>
        <v>15795.715842347541</v>
      </c>
      <c r="U8" s="23">
        <f>'[1]COVASNA_POP FORECAST_2020-2060'!AB13</f>
        <v>15706.231000559805</v>
      </c>
      <c r="V8" s="23">
        <f>'[1]COVASNA_POP FORECAST_2020-2060'!AC13</f>
        <v>15617.253102362953</v>
      </c>
      <c r="W8" s="23">
        <f>'[1]COVASNA_POP FORECAST_2020-2060'!AD13</f>
        <v>15528.77927585378</v>
      </c>
      <c r="X8" s="23">
        <f>'[1]COVASNA_POP FORECAST_2020-2060'!AE13</f>
        <v>15440.806665398792</v>
      </c>
      <c r="Y8" s="23">
        <f>'[1]COVASNA_POP FORECAST_2020-2060'!AF13</f>
        <v>15353.332431542043</v>
      </c>
      <c r="Z8" s="23">
        <f>'[1]COVASNA_POP FORECAST_2020-2060'!AG13</f>
        <v>15266.353750913479</v>
      </c>
      <c r="AA8" s="23">
        <f>'[1]COVASNA_POP FORECAST_2020-2060'!AH13</f>
        <v>15217.770064983491</v>
      </c>
      <c r="AB8" s="23">
        <f>'[1]COVASNA_POP FORECAST_2020-2060'!AI13</f>
        <v>15169.340991908482</v>
      </c>
      <c r="AC8" s="23">
        <f>'[1]COVASNA_POP FORECAST_2020-2060'!AJ13</f>
        <v>15121.06603964808</v>
      </c>
      <c r="AD8" s="23">
        <f>'[1]COVASNA_POP FORECAST_2020-2060'!AK13</f>
        <v>15072.944717727778</v>
      </c>
      <c r="AE8" s="23">
        <f>'[1]COVASNA_POP FORECAST_2020-2060'!AL13</f>
        <v>15024.976537233968</v>
      </c>
      <c r="AF8" s="23">
        <f>'[1]COVASNA_POP FORECAST_2020-2060'!AM13</f>
        <v>14977.161010808954</v>
      </c>
      <c r="AG8" s="23">
        <f>'[1]COVASNA_POP FORECAST_2020-2060'!AN13</f>
        <v>14929.497652646009</v>
      </c>
      <c r="AH8" s="126">
        <f>'[1]COVASNA_POP FORECAST_2020-2060'!AO13</f>
        <v>14881.985978484438</v>
      </c>
    </row>
    <row r="9" spans="1:34" ht="15.75" thickBot="1" x14ac:dyDescent="0.3">
      <c r="A9" s="207"/>
      <c r="B9" s="9" t="s">
        <v>11</v>
      </c>
      <c r="C9" s="25" t="s">
        <v>2</v>
      </c>
      <c r="D9" s="19">
        <v>0.98</v>
      </c>
      <c r="E9" s="14">
        <f>D9</f>
        <v>0.98</v>
      </c>
      <c r="F9" s="14">
        <f t="shared" ref="F9:I9" si="0">E9</f>
        <v>0.98</v>
      </c>
      <c r="G9" s="14">
        <f t="shared" si="0"/>
        <v>0.98</v>
      </c>
      <c r="H9" s="14">
        <f t="shared" si="0"/>
        <v>0.98</v>
      </c>
      <c r="I9" s="14">
        <f t="shared" si="0"/>
        <v>0.98</v>
      </c>
      <c r="J9" s="14">
        <v>1</v>
      </c>
      <c r="K9" s="14">
        <f>J9</f>
        <v>1</v>
      </c>
      <c r="L9" s="14">
        <f>K9</f>
        <v>1</v>
      </c>
      <c r="M9" s="14">
        <f t="shared" ref="M9:AH9" si="1">L9</f>
        <v>1</v>
      </c>
      <c r="N9" s="14">
        <f t="shared" si="1"/>
        <v>1</v>
      </c>
      <c r="O9" s="14">
        <f t="shared" si="1"/>
        <v>1</v>
      </c>
      <c r="P9" s="14">
        <f t="shared" si="1"/>
        <v>1</v>
      </c>
      <c r="Q9" s="14">
        <f t="shared" si="1"/>
        <v>1</v>
      </c>
      <c r="R9" s="14">
        <f t="shared" si="1"/>
        <v>1</v>
      </c>
      <c r="S9" s="14">
        <f t="shared" si="1"/>
        <v>1</v>
      </c>
      <c r="T9" s="14">
        <f t="shared" si="1"/>
        <v>1</v>
      </c>
      <c r="U9" s="14">
        <f t="shared" si="1"/>
        <v>1</v>
      </c>
      <c r="V9" s="14">
        <f t="shared" si="1"/>
        <v>1</v>
      </c>
      <c r="W9" s="14">
        <f t="shared" si="1"/>
        <v>1</v>
      </c>
      <c r="X9" s="15">
        <f t="shared" si="1"/>
        <v>1</v>
      </c>
      <c r="Y9" s="15">
        <f t="shared" si="1"/>
        <v>1</v>
      </c>
      <c r="Z9" s="15">
        <f t="shared" si="1"/>
        <v>1</v>
      </c>
      <c r="AA9" s="15">
        <f t="shared" si="1"/>
        <v>1</v>
      </c>
      <c r="AB9" s="15">
        <f t="shared" si="1"/>
        <v>1</v>
      </c>
      <c r="AC9" s="15">
        <f t="shared" si="1"/>
        <v>1</v>
      </c>
      <c r="AD9" s="15">
        <f t="shared" si="1"/>
        <v>1</v>
      </c>
      <c r="AE9" s="15">
        <f t="shared" si="1"/>
        <v>1</v>
      </c>
      <c r="AF9" s="15">
        <f t="shared" si="1"/>
        <v>1</v>
      </c>
      <c r="AG9" s="15">
        <f t="shared" si="1"/>
        <v>1</v>
      </c>
      <c r="AH9" s="130">
        <f t="shared" si="1"/>
        <v>1</v>
      </c>
    </row>
    <row r="10" spans="1:34" x14ac:dyDescent="0.25">
      <c r="A10" s="207"/>
      <c r="B10" s="56" t="s">
        <v>28</v>
      </c>
      <c r="C10" s="62" t="s">
        <v>59</v>
      </c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8"/>
    </row>
    <row r="11" spans="1:34" x14ac:dyDescent="0.25">
      <c r="A11" s="207"/>
      <c r="B11" s="10" t="s">
        <v>12</v>
      </c>
      <c r="C11" s="26" t="s">
        <v>10</v>
      </c>
      <c r="D11" s="18">
        <f t="shared" ref="D11:AH11" si="2">D9*D8</f>
        <v>17248.114845800555</v>
      </c>
      <c r="E11" s="51">
        <f t="shared" si="2"/>
        <v>17098.739275872675</v>
      </c>
      <c r="F11" s="51">
        <f t="shared" si="2"/>
        <v>16947.701554571227</v>
      </c>
      <c r="G11" s="2">
        <f t="shared" si="2"/>
        <v>16833.06491859306</v>
      </c>
      <c r="H11" s="2">
        <f t="shared" si="2"/>
        <v>16719.203700937316</v>
      </c>
      <c r="I11" s="2">
        <f t="shared" si="2"/>
        <v>16606.112656565449</v>
      </c>
      <c r="J11" s="2">
        <f t="shared" si="2"/>
        <v>16830.394465221518</v>
      </c>
      <c r="K11" s="48">
        <f t="shared" si="2"/>
        <v>16716.551310887819</v>
      </c>
      <c r="L11" s="2">
        <f t="shared" si="2"/>
        <v>16603.478207655138</v>
      </c>
      <c r="M11" s="48">
        <f t="shared" si="2"/>
        <v>16491.169946789581</v>
      </c>
      <c r="N11" s="2">
        <f t="shared" si="2"/>
        <v>16379.621354789844</v>
      </c>
      <c r="O11" s="2">
        <f t="shared" si="2"/>
        <v>16268.827293148914</v>
      </c>
      <c r="P11" s="2">
        <f t="shared" si="2"/>
        <v>16158.782658117369</v>
      </c>
      <c r="Q11" s="2">
        <f t="shared" si="2"/>
        <v>16067.240994284221</v>
      </c>
      <c r="R11" s="2">
        <f t="shared" si="2"/>
        <v>15976.217926213802</v>
      </c>
      <c r="S11" s="2">
        <f t="shared" si="2"/>
        <v>15885.71051599179</v>
      </c>
      <c r="T11" s="2">
        <f t="shared" si="2"/>
        <v>15795.715842347541</v>
      </c>
      <c r="U11" s="2">
        <f t="shared" si="2"/>
        <v>15706.231000559805</v>
      </c>
      <c r="V11" s="2">
        <f t="shared" si="2"/>
        <v>15617.253102362953</v>
      </c>
      <c r="W11" s="2">
        <f t="shared" si="2"/>
        <v>15528.77927585378</v>
      </c>
      <c r="X11" s="2">
        <f t="shared" si="2"/>
        <v>15440.806665398792</v>
      </c>
      <c r="Y11" s="2">
        <f t="shared" si="2"/>
        <v>15353.332431542043</v>
      </c>
      <c r="Z11" s="2">
        <f t="shared" si="2"/>
        <v>15266.353750913479</v>
      </c>
      <c r="AA11" s="2">
        <f t="shared" si="2"/>
        <v>15217.770064983491</v>
      </c>
      <c r="AB11" s="2">
        <f t="shared" si="2"/>
        <v>15169.340991908482</v>
      </c>
      <c r="AC11" s="2">
        <f t="shared" si="2"/>
        <v>15121.06603964808</v>
      </c>
      <c r="AD11" s="2">
        <f t="shared" si="2"/>
        <v>15072.944717727778</v>
      </c>
      <c r="AE11" s="2">
        <f t="shared" si="2"/>
        <v>15024.976537233968</v>
      </c>
      <c r="AF11" s="2">
        <f t="shared" si="2"/>
        <v>14977.161010808954</v>
      </c>
      <c r="AG11" s="2">
        <f t="shared" si="2"/>
        <v>14929.497652646009</v>
      </c>
      <c r="AH11" s="126">
        <f t="shared" si="2"/>
        <v>14881.985978484438</v>
      </c>
    </row>
    <row r="12" spans="1:34" x14ac:dyDescent="0.25">
      <c r="A12" s="207"/>
      <c r="B12" s="10" t="s">
        <v>8</v>
      </c>
      <c r="C12" s="26" t="s">
        <v>13</v>
      </c>
      <c r="D12" s="66">
        <f>D13/D11*1000/365</f>
        <v>75.87980329122685</v>
      </c>
      <c r="E12" s="68">
        <f>D12+($J$12-$D$12)/6</f>
        <v>79.899836076022382</v>
      </c>
      <c r="F12" s="68">
        <f t="shared" ref="F12:I12" si="3">E12+($J$12-$D$12)/6</f>
        <v>83.9198688608179</v>
      </c>
      <c r="G12" s="68">
        <f t="shared" si="3"/>
        <v>87.939901645613418</v>
      </c>
      <c r="H12" s="68">
        <f t="shared" si="3"/>
        <v>91.959934430408936</v>
      </c>
      <c r="I12" s="68">
        <f t="shared" si="3"/>
        <v>95.979967215204454</v>
      </c>
      <c r="J12" s="84">
        <v>100</v>
      </c>
      <c r="K12" s="68">
        <f>(($Q$12-$J$12)/7)+J12</f>
        <v>100.71428571428571</v>
      </c>
      <c r="L12" s="68">
        <f t="shared" ref="L12:P12" si="4">(($Q$12-$J$12)/7)+K12</f>
        <v>101.42857142857142</v>
      </c>
      <c r="M12" s="68">
        <f t="shared" si="4"/>
        <v>102.14285714285712</v>
      </c>
      <c r="N12" s="68">
        <f t="shared" si="4"/>
        <v>102.85714285714283</v>
      </c>
      <c r="O12" s="68">
        <f t="shared" si="4"/>
        <v>103.57142857142854</v>
      </c>
      <c r="P12" s="68">
        <f t="shared" si="4"/>
        <v>104.28571428571425</v>
      </c>
      <c r="Q12" s="68">
        <v>105</v>
      </c>
      <c r="R12" s="68">
        <f>(($AH$12-$Q$12)/16)+Q12</f>
        <v>105.3125</v>
      </c>
      <c r="S12" s="68">
        <f t="shared" ref="S12:AG12" si="5">(($AH$12-$Q$12)/16)+R12</f>
        <v>105.625</v>
      </c>
      <c r="T12" s="68">
        <f t="shared" si="5"/>
        <v>105.9375</v>
      </c>
      <c r="U12" s="68">
        <f t="shared" si="5"/>
        <v>106.25</v>
      </c>
      <c r="V12" s="68">
        <f t="shared" si="5"/>
        <v>106.5625</v>
      </c>
      <c r="W12" s="68">
        <f t="shared" si="5"/>
        <v>106.875</v>
      </c>
      <c r="X12" s="68">
        <f t="shared" si="5"/>
        <v>107.1875</v>
      </c>
      <c r="Y12" s="68">
        <f t="shared" si="5"/>
        <v>107.5</v>
      </c>
      <c r="Z12" s="68">
        <f t="shared" si="5"/>
        <v>107.8125</v>
      </c>
      <c r="AA12" s="68">
        <f t="shared" si="5"/>
        <v>108.125</v>
      </c>
      <c r="AB12" s="68">
        <f t="shared" si="5"/>
        <v>108.4375</v>
      </c>
      <c r="AC12" s="68">
        <f t="shared" si="5"/>
        <v>108.75</v>
      </c>
      <c r="AD12" s="68">
        <f t="shared" si="5"/>
        <v>109.0625</v>
      </c>
      <c r="AE12" s="68">
        <f t="shared" si="5"/>
        <v>109.375</v>
      </c>
      <c r="AF12" s="68">
        <f t="shared" si="5"/>
        <v>109.6875</v>
      </c>
      <c r="AG12" s="68">
        <f t="shared" si="5"/>
        <v>110</v>
      </c>
      <c r="AH12" s="197">
        <f>IF(C10="urban", $E$4,$E$5)</f>
        <v>110</v>
      </c>
    </row>
    <row r="13" spans="1:34" x14ac:dyDescent="0.25">
      <c r="A13" s="207"/>
      <c r="B13" s="10" t="s">
        <v>14</v>
      </c>
      <c r="C13" s="26" t="s">
        <v>17</v>
      </c>
      <c r="D13" s="18">
        <f>'[3]Billed Cons'!$D$8+'[3]Billed Cons'!$H$8</f>
        <v>477706</v>
      </c>
      <c r="E13" s="2">
        <f t="shared" ref="E13:AH13" si="6">E12*E11*365/1000</f>
        <v>498658.05981583841</v>
      </c>
      <c r="F13" s="2">
        <f t="shared" si="6"/>
        <v>519120.84556244238</v>
      </c>
      <c r="G13" s="2">
        <f t="shared" si="6"/>
        <v>540308.79676738428</v>
      </c>
      <c r="H13" s="2">
        <f t="shared" si="6"/>
        <v>561186.35976439877</v>
      </c>
      <c r="I13" s="2">
        <f t="shared" si="6"/>
        <v>581756.76414743741</v>
      </c>
      <c r="J13" s="2">
        <f>J12*J11*365/1000</f>
        <v>614309.39798058546</v>
      </c>
      <c r="K13" s="48">
        <f t="shared" si="6"/>
        <v>614512.36658202973</v>
      </c>
      <c r="L13" s="2">
        <f t="shared" si="6"/>
        <v>614684.48250197549</v>
      </c>
      <c r="M13" s="2">
        <f t="shared" si="6"/>
        <v>614826.15383763006</v>
      </c>
      <c r="N13" s="2">
        <f t="shared" si="6"/>
        <v>614937.78457696713</v>
      </c>
      <c r="O13" s="2">
        <f t="shared" si="6"/>
        <v>615019.77463564719</v>
      </c>
      <c r="P13" s="2">
        <f t="shared" si="6"/>
        <v>615072.51989362459</v>
      </c>
      <c r="Q13" s="2">
        <f t="shared" si="6"/>
        <v>615777.01110594277</v>
      </c>
      <c r="R13" s="48">
        <f t="shared" si="6"/>
        <v>614110.83937935263</v>
      </c>
      <c r="S13" s="2">
        <f t="shared" si="6"/>
        <v>612443.78323684598</v>
      </c>
      <c r="T13" s="2">
        <f t="shared" si="6"/>
        <v>610775.90617277287</v>
      </c>
      <c r="U13" s="2">
        <f t="shared" si="6"/>
        <v>609107.27099045995</v>
      </c>
      <c r="V13" s="2">
        <f t="shared" si="6"/>
        <v>607437.93980800151</v>
      </c>
      <c r="W13" s="2">
        <f t="shared" si="6"/>
        <v>605767.97406400845</v>
      </c>
      <c r="X13" s="2">
        <f t="shared" si="6"/>
        <v>604097.43452331307</v>
      </c>
      <c r="Y13" s="2">
        <f t="shared" si="6"/>
        <v>602426.38128263096</v>
      </c>
      <c r="Z13" s="2">
        <f t="shared" si="6"/>
        <v>600754.87377618114</v>
      </c>
      <c r="AA13" s="2">
        <f t="shared" si="6"/>
        <v>600578.80672086403</v>
      </c>
      <c r="AB13" s="2">
        <f t="shared" si="6"/>
        <v>600397.77604067768</v>
      </c>
      <c r="AC13" s="2">
        <f t="shared" si="6"/>
        <v>600211.815111281</v>
      </c>
      <c r="AD13" s="2">
        <f t="shared" si="6"/>
        <v>600020.95714617288</v>
      </c>
      <c r="AE13" s="2">
        <f t="shared" si="6"/>
        <v>599825.23519738729</v>
      </c>
      <c r="AF13" s="2">
        <f t="shared" si="6"/>
        <v>599624.68215618411</v>
      </c>
      <c r="AG13" s="2">
        <f t="shared" si="6"/>
        <v>599419.33075373725</v>
      </c>
      <c r="AH13" s="126">
        <f t="shared" si="6"/>
        <v>597511.73703615018</v>
      </c>
    </row>
    <row r="14" spans="1:34" x14ac:dyDescent="0.25">
      <c r="A14" s="207"/>
      <c r="B14" s="10" t="s">
        <v>15</v>
      </c>
      <c r="C14" s="26" t="s">
        <v>17</v>
      </c>
      <c r="D14" s="18">
        <f>'[3]Billed Cons'!$D$9+'[3]Billed Cons'!$D$10+'[3]Billed Cons'!$H$9+'[3]Billed Cons'!$H$10</f>
        <v>177629</v>
      </c>
      <c r="E14" s="69">
        <f>D14*(1+0.25*'[2]pag 1'!C7/10)</f>
        <v>195835.9725</v>
      </c>
      <c r="F14" s="69">
        <f>E14*(1+0.25*'[2]pag 1'!D7/10)</f>
        <v>215909.15968125002</v>
      </c>
      <c r="G14" s="69">
        <f>F14*(1+0.25*'[2]pag 1'!E7/10)</f>
        <v>238579.62144778128</v>
      </c>
      <c r="H14" s="69">
        <f>G14*(1+0.25*'[2]pag 1'!F7/10)</f>
        <v>263630.48169979831</v>
      </c>
      <c r="I14" s="69">
        <f>H14*(1+0.25*'[2]pag 1'!G7/10)</f>
        <v>289993.5298697782</v>
      </c>
      <c r="J14" s="86">
        <f>I14*(1+0.25*'[2]pag 1'!H7/10)</f>
        <v>289993.5298697782</v>
      </c>
      <c r="K14" s="69">
        <f>J14*(1+0.25*'[2]pag 1'!I7/10)</f>
        <v>289993.5298697782</v>
      </c>
      <c r="L14" s="69">
        <f>K14*(1+0.25*'[2]pag 1'!J7/10)</f>
        <v>289993.5298697782</v>
      </c>
      <c r="M14" s="69">
        <f>L14*(1+0.25*'[2]pag 1'!K7/10)</f>
        <v>289993.5298697782</v>
      </c>
      <c r="N14" s="69">
        <f>M14*(1+0.25*'[2]pag 1'!L7/10)</f>
        <v>289993.5298697782</v>
      </c>
      <c r="O14" s="69">
        <f>N14*(1+0.25*'[2]pag 1'!M7/10)</f>
        <v>289993.5298697782</v>
      </c>
      <c r="P14" s="69">
        <f>O14*(1+0.25*'[2]pag 1'!N7/10)</f>
        <v>289993.5298697782</v>
      </c>
      <c r="Q14" s="69">
        <f>P14*(1+0.25*'[2]pag 1'!O7/10)</f>
        <v>289993.5298697782</v>
      </c>
      <c r="R14" s="69">
        <f>Q14*(1+0.25*'[2]pag 1'!P7/10)</f>
        <v>289993.5298697782</v>
      </c>
      <c r="S14" s="69">
        <f>R14*(1+0.25*'[2]pag 1'!Q7/10)</f>
        <v>289993.5298697782</v>
      </c>
      <c r="T14" s="69">
        <f>S14*(1+0.25*'[2]pag 1'!R7/10)</f>
        <v>289993.5298697782</v>
      </c>
      <c r="U14" s="69">
        <f>T14*(1+0.25*'[2]pag 1'!S7/10)</f>
        <v>289993.5298697782</v>
      </c>
      <c r="V14" s="69">
        <f>U14*(1+0.25*'[2]pag 1'!T7/10)</f>
        <v>289993.5298697782</v>
      </c>
      <c r="W14" s="69">
        <f>V14*(1+0.25*'[2]pag 1'!U7/10)</f>
        <v>289993.5298697782</v>
      </c>
      <c r="X14" s="69">
        <f>W14*(1+0.25*'[2]pag 1'!V7/10)</f>
        <v>289993.5298697782</v>
      </c>
      <c r="Y14" s="69">
        <f>X14*(1+0.25*'[2]pag 1'!W7/10)</f>
        <v>289993.5298697782</v>
      </c>
      <c r="Z14" s="69">
        <f>Y14*(1+0.25*'[2]pag 1'!X7/10)</f>
        <v>289993.5298697782</v>
      </c>
      <c r="AA14" s="69">
        <f>Z14*(1+0.25*'[2]pag 1'!Y7/10)</f>
        <v>289993.5298697782</v>
      </c>
      <c r="AB14" s="69">
        <f>AA14*(1+0.25*'[2]pag 1'!Z7/10)</f>
        <v>289993.5298697782</v>
      </c>
      <c r="AC14" s="69">
        <f>AB14*(1+0.25*'[2]pag 1'!AA7/10)</f>
        <v>289993.5298697782</v>
      </c>
      <c r="AD14" s="69">
        <f>AC14*(1+0.25*'[2]pag 1'!AB7/10)</f>
        <v>289993.5298697782</v>
      </c>
      <c r="AE14" s="69">
        <f>AD14*(1+0.25*'[2]pag 1'!AC7/10)</f>
        <v>289993.5298697782</v>
      </c>
      <c r="AF14" s="69">
        <f>AE14*(1+0.25*'[2]pag 1'!AD7/10)</f>
        <v>289993.5298697782</v>
      </c>
      <c r="AG14" s="69">
        <f>AF14*(1+0.25*'[2]pag 1'!AE7/10)</f>
        <v>289993.5298697782</v>
      </c>
      <c r="AH14" s="120">
        <f>AG14*(1+0.25*'[2]pag 1'!AF7/10)</f>
        <v>289993.5298697782</v>
      </c>
    </row>
    <row r="15" spans="1:34" ht="15.75" thickBot="1" x14ac:dyDescent="0.3">
      <c r="A15" s="207"/>
      <c r="B15" s="12" t="s">
        <v>16</v>
      </c>
      <c r="C15" s="27" t="s">
        <v>18</v>
      </c>
      <c r="D15" s="52">
        <f t="shared" ref="D15:AH15" si="7">D13+D14</f>
        <v>655335</v>
      </c>
      <c r="E15" s="53">
        <f t="shared" si="7"/>
        <v>694494.03231583838</v>
      </c>
      <c r="F15" s="53">
        <f t="shared" si="7"/>
        <v>735030.00524369243</v>
      </c>
      <c r="G15" s="53">
        <f t="shared" si="7"/>
        <v>778888.41821516561</v>
      </c>
      <c r="H15" s="53">
        <f t="shared" si="7"/>
        <v>824816.84146419703</v>
      </c>
      <c r="I15" s="53">
        <f t="shared" si="7"/>
        <v>871750.29401721561</v>
      </c>
      <c r="J15" s="53">
        <f t="shared" si="7"/>
        <v>904302.92785036366</v>
      </c>
      <c r="K15" s="53">
        <f t="shared" si="7"/>
        <v>904505.89645180793</v>
      </c>
      <c r="L15" s="53">
        <f t="shared" si="7"/>
        <v>904678.01237175369</v>
      </c>
      <c r="M15" s="53">
        <f t="shared" si="7"/>
        <v>904819.68370740826</v>
      </c>
      <c r="N15" s="53">
        <f t="shared" si="7"/>
        <v>904931.31444674532</v>
      </c>
      <c r="O15" s="53">
        <f t="shared" si="7"/>
        <v>905013.30450542539</v>
      </c>
      <c r="P15" s="53">
        <f t="shared" si="7"/>
        <v>905066.04976340279</v>
      </c>
      <c r="Q15" s="53">
        <f t="shared" si="7"/>
        <v>905770.54097572097</v>
      </c>
      <c r="R15" s="53">
        <f t="shared" si="7"/>
        <v>904104.36924913083</v>
      </c>
      <c r="S15" s="53">
        <f t="shared" si="7"/>
        <v>902437.31310662418</v>
      </c>
      <c r="T15" s="53">
        <f t="shared" si="7"/>
        <v>900769.43604255107</v>
      </c>
      <c r="U15" s="53">
        <f t="shared" si="7"/>
        <v>899100.80086023815</v>
      </c>
      <c r="V15" s="53">
        <f t="shared" si="7"/>
        <v>897431.46967777971</v>
      </c>
      <c r="W15" s="53">
        <f t="shared" si="7"/>
        <v>895761.50393378665</v>
      </c>
      <c r="X15" s="53">
        <f t="shared" si="7"/>
        <v>894090.96439309127</v>
      </c>
      <c r="Y15" s="53">
        <f t="shared" si="7"/>
        <v>892419.91115240916</v>
      </c>
      <c r="Z15" s="53">
        <f t="shared" si="7"/>
        <v>890748.40364595933</v>
      </c>
      <c r="AA15" s="53">
        <f t="shared" si="7"/>
        <v>890572.33659064223</v>
      </c>
      <c r="AB15" s="53">
        <f t="shared" si="7"/>
        <v>890391.30591045588</v>
      </c>
      <c r="AC15" s="53">
        <f t="shared" si="7"/>
        <v>890205.3449810592</v>
      </c>
      <c r="AD15" s="53">
        <f t="shared" si="7"/>
        <v>890014.48701595108</v>
      </c>
      <c r="AE15" s="53">
        <f t="shared" si="7"/>
        <v>889818.76506716548</v>
      </c>
      <c r="AF15" s="53">
        <f t="shared" si="7"/>
        <v>889618.2120259623</v>
      </c>
      <c r="AG15" s="53">
        <f t="shared" si="7"/>
        <v>889412.86062351544</v>
      </c>
      <c r="AH15" s="131">
        <f t="shared" si="7"/>
        <v>887505.26690592838</v>
      </c>
    </row>
    <row r="16" spans="1:34" x14ac:dyDescent="0.25">
      <c r="A16" s="207"/>
      <c r="B16" s="203" t="s">
        <v>56</v>
      </c>
      <c r="C16" s="204"/>
      <c r="D16" s="204"/>
      <c r="E16" s="204"/>
      <c r="F16" s="204"/>
      <c r="G16" s="204"/>
      <c r="H16" s="204"/>
      <c r="I16" s="204"/>
      <c r="J16" s="204"/>
      <c r="K16" s="204"/>
      <c r="L16" s="204"/>
      <c r="M16" s="204"/>
      <c r="N16" s="204"/>
      <c r="O16" s="204"/>
      <c r="P16" s="204"/>
      <c r="Q16" s="204"/>
      <c r="R16" s="204"/>
      <c r="S16" s="204"/>
      <c r="T16" s="204"/>
      <c r="U16" s="204"/>
      <c r="V16" s="204"/>
      <c r="W16" s="204"/>
      <c r="X16" s="204"/>
      <c r="Y16" s="204"/>
      <c r="Z16" s="204"/>
      <c r="AA16" s="204"/>
      <c r="AB16" s="204"/>
      <c r="AC16" s="204"/>
      <c r="AD16" s="204"/>
      <c r="AE16" s="204"/>
      <c r="AF16" s="204"/>
      <c r="AG16" s="204"/>
      <c r="AH16" s="205"/>
    </row>
    <row r="17" spans="1:35" x14ac:dyDescent="0.25">
      <c r="A17" s="207"/>
      <c r="B17" s="10" t="s">
        <v>60</v>
      </c>
      <c r="C17" s="28" t="s">
        <v>2</v>
      </c>
      <c r="D17" s="20">
        <f t="shared" ref="D17:AH17" si="8">D18/D25</f>
        <v>0.45712217845221853</v>
      </c>
      <c r="E17" s="7">
        <f t="shared" si="8"/>
        <v>0.43559411130224213</v>
      </c>
      <c r="F17" s="7">
        <f t="shared" si="8"/>
        <v>0.42224181924894461</v>
      </c>
      <c r="G17" s="7">
        <f t="shared" si="8"/>
        <v>0.40863919689895717</v>
      </c>
      <c r="H17" s="7">
        <f t="shared" si="8"/>
        <v>0.39519521582582179</v>
      </c>
      <c r="I17" s="7">
        <f t="shared" si="8"/>
        <v>0.38219447394326034</v>
      </c>
      <c r="J17" s="7">
        <f t="shared" si="8"/>
        <v>0.37308828955682366</v>
      </c>
      <c r="K17" s="7">
        <f t="shared" si="8"/>
        <v>0.37089668625243039</v>
      </c>
      <c r="L17" s="7">
        <f t="shared" si="8"/>
        <v>0.36871702743473495</v>
      </c>
      <c r="M17" s="7">
        <f t="shared" si="8"/>
        <v>0.36654926532591608</v>
      </c>
      <c r="N17" s="7">
        <f t="shared" si="8"/>
        <v>0.36439335206090795</v>
      </c>
      <c r="O17" s="7">
        <f t="shared" si="8"/>
        <v>0.36224923969322387</v>
      </c>
      <c r="P17" s="7">
        <f t="shared" si="8"/>
        <v>0.36011688020068766</v>
      </c>
      <c r="Q17" s="7">
        <f t="shared" si="8"/>
        <v>0.35783823456605213</v>
      </c>
      <c r="R17" s="7">
        <f t="shared" si="8"/>
        <v>0.35611466467212144</v>
      </c>
      <c r="S17" s="7">
        <f t="shared" si="8"/>
        <v>0.35439542270366869</v>
      </c>
      <c r="T17" s="7">
        <f t="shared" si="8"/>
        <v>0.35268053979295555</v>
      </c>
      <c r="U17" s="7">
        <f t="shared" si="8"/>
        <v>0.35097004666565085</v>
      </c>
      <c r="V17" s="7">
        <f t="shared" si="8"/>
        <v>0.34926397364014999</v>
      </c>
      <c r="W17" s="7">
        <f t="shared" si="8"/>
        <v>0.34756235062695878</v>
      </c>
      <c r="X17" s="7">
        <f t="shared" si="8"/>
        <v>0.34586520712814389</v>
      </c>
      <c r="Y17" s="7">
        <f t="shared" si="8"/>
        <v>0.34417257223684677</v>
      </c>
      <c r="Z17" s="7">
        <f t="shared" si="8"/>
        <v>0.34248447463686138</v>
      </c>
      <c r="AA17" s="7">
        <f t="shared" si="8"/>
        <v>0.34045507832952032</v>
      </c>
      <c r="AB17" s="7">
        <f t="shared" si="8"/>
        <v>0.33843235519701392</v>
      </c>
      <c r="AC17" s="7">
        <f t="shared" si="8"/>
        <v>0.33641636396889901</v>
      </c>
      <c r="AD17" s="7">
        <f t="shared" si="8"/>
        <v>0.33440716229922668</v>
      </c>
      <c r="AE17" s="7">
        <f t="shared" si="8"/>
        <v>0.33240480676510037</v>
      </c>
      <c r="AF17" s="7">
        <f t="shared" si="8"/>
        <v>0.3304093528655348</v>
      </c>
      <c r="AG17" s="7">
        <f t="shared" si="8"/>
        <v>0.32842085502061114</v>
      </c>
      <c r="AH17" s="132">
        <f t="shared" si="8"/>
        <v>0.32682469828660632</v>
      </c>
    </row>
    <row r="18" spans="1:35" x14ac:dyDescent="0.25">
      <c r="A18" s="207"/>
      <c r="B18" s="10" t="s">
        <v>60</v>
      </c>
      <c r="C18" s="28" t="s">
        <v>18</v>
      </c>
      <c r="D18" s="18">
        <f>'Prognoza BA'!F12+'Prognoza BA'!F15</f>
        <v>668863</v>
      </c>
      <c r="E18" s="48">
        <f>'Prognoza BA'!G12+'Prognoza BA'!G15</f>
        <v>642201.31496670342</v>
      </c>
      <c r="F18" s="48">
        <f>'Prognoza BA'!H12+'Prognoza BA'!H15</f>
        <v>636748.30004664883</v>
      </c>
      <c r="G18" s="48">
        <f>'Prognoza BA'!I12+'Prognoza BA'!I15</f>
        <v>631425.89282218053</v>
      </c>
      <c r="H18" s="48">
        <f>'Prognoza BA'!J12+'Prognoza BA'!J15</f>
        <v>626207.90547418699</v>
      </c>
      <c r="I18" s="48">
        <f>'Prognoza BA'!K12+'Prognoza BA'!K15</f>
        <v>621071.98194939736</v>
      </c>
      <c r="J18" s="48">
        <f>'Prognoza BA'!L12+'Prognoza BA'!L15</f>
        <v>629446.23831537995</v>
      </c>
      <c r="K18" s="48">
        <f>'Prognoza BA'!M12+'Prognoza BA'!M15</f>
        <v>623340.46976651077</v>
      </c>
      <c r="L18" s="48">
        <f>'Prognoza BA'!N12+'Prognoza BA'!N15</f>
        <v>617295.17067873268</v>
      </c>
      <c r="M18" s="48">
        <f>'Prognoza BA'!O12+'Prognoza BA'!O15</f>
        <v>611309.73838948354</v>
      </c>
      <c r="N18" s="48">
        <f>'Prognoza BA'!P12+'Prognoza BA'!P15</f>
        <v>605383.57626225008</v>
      </c>
      <c r="O18" s="48">
        <f>'Prognoza BA'!Q12+'Prognoza BA'!Q15</f>
        <v>599516.09362622246</v>
      </c>
      <c r="P18" s="48">
        <f>'Prognoza BA'!R12+'Prognoza BA'!R15</f>
        <v>593706.70571655268</v>
      </c>
      <c r="Q18" s="48">
        <f>'Prognoza BA'!S12+'Prognoza BA'!S15</f>
        <v>587968.72338816174</v>
      </c>
      <c r="R18" s="48">
        <f>'Prognoza BA'!T12+'Prognoza BA'!T15</f>
        <v>582239.88378046709</v>
      </c>
      <c r="S18" s="48">
        <f>'Prognoza BA'!U12+'Prognoza BA'!U15</f>
        <v>576567.97448449896</v>
      </c>
      <c r="T18" s="48">
        <f>'Prognoza BA'!V12+'Prognoza BA'!V15</f>
        <v>570952.42731244967</v>
      </c>
      <c r="U18" s="48">
        <f>'Prognoza BA'!W12+'Prognoza BA'!W15</f>
        <v>565392.67975724582</v>
      </c>
      <c r="V18" s="48">
        <f>'Prognoza BA'!X12+'Prognoza BA'!X15</f>
        <v>559888.17493571714</v>
      </c>
      <c r="W18" s="48">
        <f>'Prognoza BA'!Y12+'Prognoza BA'!Y15</f>
        <v>554438.36153233517</v>
      </c>
      <c r="X18" s="48">
        <f>'Prognoza BA'!Z12+'Prognoza BA'!Z15</f>
        <v>549042.6937435146</v>
      </c>
      <c r="Y18" s="48">
        <f>'Prognoza BA'!AA12+'Prognoza BA'!AA15</f>
        <v>543700.63122247229</v>
      </c>
      <c r="Z18" s="48">
        <f>'Prognoza BA'!AB12+'Prognoza BA'!AB15</f>
        <v>538411.63902463682</v>
      </c>
      <c r="AA18" s="48">
        <f>'Prognoza BA'!AC12+'Prognoza BA'!AC15</f>
        <v>533205.71481767902</v>
      </c>
      <c r="AB18" s="48">
        <f>'Prognoza BA'!AD12+'Prognoza BA'!AD15</f>
        <v>528051.71262227208</v>
      </c>
      <c r="AC18" s="48">
        <f>'Prognoza BA'!AE12+'Prognoza BA'!AE15</f>
        <v>522949.11288645153</v>
      </c>
      <c r="AD18" s="48">
        <f>'Prognoza BA'!AF12+'Prognoza BA'!AF15</f>
        <v>517897.40125727485</v>
      </c>
      <c r="AE18" s="48">
        <f>'Prognoza BA'!AG12+'Prognoza BA'!AG15</f>
        <v>512896.06852881174</v>
      </c>
      <c r="AF18" s="48">
        <f>'Prognoza BA'!AH12+'Prognoza BA'!AH15</f>
        <v>507944.61059065565</v>
      </c>
      <c r="AG18" s="48">
        <f>'Prognoza BA'!AI12+'Prognoza BA'!AI15</f>
        <v>503042.52837694937</v>
      </c>
      <c r="AH18" s="198">
        <f>'Prognoza BA'!AJ12+'Prognoza BA'!AJ15</f>
        <v>498154.68543784611</v>
      </c>
    </row>
    <row r="19" spans="1:35" x14ac:dyDescent="0.25">
      <c r="A19" s="207"/>
      <c r="B19" s="10" t="s">
        <v>61</v>
      </c>
      <c r="C19" s="28" t="s">
        <v>2</v>
      </c>
      <c r="D19" s="20">
        <f t="shared" ref="D19:AH19" si="9">D20/D25</f>
        <v>9.500110715935714E-2</v>
      </c>
      <c r="E19" s="7">
        <f t="shared" si="9"/>
        <v>9.3342526227045586E-2</v>
      </c>
      <c r="F19" s="7">
        <f t="shared" si="9"/>
        <v>9.0343598577972875E-2</v>
      </c>
      <c r="G19" s="7">
        <f t="shared" si="9"/>
        <v>8.7288446690758331E-2</v>
      </c>
      <c r="H19" s="7">
        <f t="shared" si="9"/>
        <v>8.4268925668232533E-2</v>
      </c>
      <c r="I19" s="7">
        <f t="shared" si="9"/>
        <v>8.1348956262647043E-2</v>
      </c>
      <c r="J19" s="7">
        <f t="shared" si="9"/>
        <v>9.0909090909090912E-2</v>
      </c>
      <c r="K19" s="7">
        <f t="shared" si="9"/>
        <v>9.0909090909090912E-2</v>
      </c>
      <c r="L19" s="7">
        <f t="shared" si="9"/>
        <v>9.0909090909090925E-2</v>
      </c>
      <c r="M19" s="7">
        <f t="shared" si="9"/>
        <v>9.0909090909090912E-2</v>
      </c>
      <c r="N19" s="7">
        <f t="shared" si="9"/>
        <v>9.0909090909090925E-2</v>
      </c>
      <c r="O19" s="7">
        <f t="shared" si="9"/>
        <v>9.0909090909090912E-2</v>
      </c>
      <c r="P19" s="7">
        <f t="shared" si="9"/>
        <v>9.0909090909090912E-2</v>
      </c>
      <c r="Q19" s="7">
        <f t="shared" si="9"/>
        <v>9.0909090909090898E-2</v>
      </c>
      <c r="R19" s="7">
        <f t="shared" si="9"/>
        <v>9.0909090909090925E-2</v>
      </c>
      <c r="S19" s="7">
        <f t="shared" si="9"/>
        <v>9.0909090909090898E-2</v>
      </c>
      <c r="T19" s="7">
        <f t="shared" si="9"/>
        <v>9.0909090909090898E-2</v>
      </c>
      <c r="U19" s="7">
        <f t="shared" si="9"/>
        <v>9.0909090909090912E-2</v>
      </c>
      <c r="V19" s="7">
        <f t="shared" si="9"/>
        <v>9.0909090909090925E-2</v>
      </c>
      <c r="W19" s="7">
        <f t="shared" si="9"/>
        <v>9.0909090909090912E-2</v>
      </c>
      <c r="X19" s="7">
        <f t="shared" si="9"/>
        <v>9.0909090909090912E-2</v>
      </c>
      <c r="Y19" s="7">
        <f t="shared" si="9"/>
        <v>9.0909090909090898E-2</v>
      </c>
      <c r="Z19" s="7">
        <f t="shared" si="9"/>
        <v>9.0909090909090912E-2</v>
      </c>
      <c r="AA19" s="7">
        <f t="shared" si="9"/>
        <v>9.0909090909090912E-2</v>
      </c>
      <c r="AB19" s="7">
        <f t="shared" si="9"/>
        <v>9.0909090909090898E-2</v>
      </c>
      <c r="AC19" s="7">
        <f t="shared" si="9"/>
        <v>9.0909090909090898E-2</v>
      </c>
      <c r="AD19" s="7">
        <f t="shared" si="9"/>
        <v>9.0909090909090912E-2</v>
      </c>
      <c r="AE19" s="7">
        <f t="shared" si="9"/>
        <v>9.0909090909090912E-2</v>
      </c>
      <c r="AF19" s="7">
        <f t="shared" si="9"/>
        <v>9.0909090909090912E-2</v>
      </c>
      <c r="AG19" s="7">
        <f t="shared" si="9"/>
        <v>9.0909090909090912E-2</v>
      </c>
      <c r="AH19" s="132">
        <f t="shared" si="9"/>
        <v>9.0909090909090912E-2</v>
      </c>
    </row>
    <row r="20" spans="1:35" x14ac:dyDescent="0.25">
      <c r="A20" s="207"/>
      <c r="B20" s="10" t="s">
        <v>61</v>
      </c>
      <c r="C20" s="29" t="s">
        <v>18</v>
      </c>
      <c r="D20" s="22">
        <f>'[3]Water Balance m3'!$T$16</f>
        <v>139006</v>
      </c>
      <c r="E20" s="54">
        <f>'Prognoza BA'!G9</f>
        <v>137615.94</v>
      </c>
      <c r="F20" s="54">
        <f>'Prognoza BA'!H9</f>
        <v>136239.7806</v>
      </c>
      <c r="G20" s="54">
        <f>'Prognoza BA'!I9</f>
        <v>134877.382794</v>
      </c>
      <c r="H20" s="54">
        <f>'Prognoza BA'!J9</f>
        <v>133528.60896606001</v>
      </c>
      <c r="I20" s="54">
        <f>'Prognoza BA'!K9</f>
        <v>132193.32287639941</v>
      </c>
      <c r="J20" s="54">
        <f>'Prognoza BA'!L9</f>
        <v>153374.91661657437</v>
      </c>
      <c r="K20" s="54">
        <f>'Prognoza BA'!M9</f>
        <v>152784.63662183189</v>
      </c>
      <c r="L20" s="54">
        <f>'Prognoza BA'!N9</f>
        <v>152197.31830504866</v>
      </c>
      <c r="M20" s="54">
        <f>'Prognoza BA'!O9</f>
        <v>151612.94220968918</v>
      </c>
      <c r="N20" s="54">
        <f>'Prognoza BA'!P9</f>
        <v>151031.48907089955</v>
      </c>
      <c r="O20" s="54">
        <f>'Prognoza BA'!Q9</f>
        <v>150452.93981316479</v>
      </c>
      <c r="P20" s="54">
        <f>'Prognoza BA'!R9</f>
        <v>149877.27554799555</v>
      </c>
      <c r="Q20" s="54">
        <f>'Prognoza BA'!S9</f>
        <v>149373.92643638825</v>
      </c>
      <c r="R20" s="54">
        <f>'Prognoza BA'!T9</f>
        <v>148634.4253029598</v>
      </c>
      <c r="S20" s="54">
        <f>'Prognoza BA'!U9</f>
        <v>147900.52875911232</v>
      </c>
      <c r="T20" s="54">
        <f>'Prognoza BA'!V9</f>
        <v>147172.18633550007</v>
      </c>
      <c r="U20" s="54">
        <f>'Prognoza BA'!W9</f>
        <v>146449.3480617484</v>
      </c>
      <c r="V20" s="54">
        <f>'Prognoza BA'!X9</f>
        <v>145731.96446134971</v>
      </c>
      <c r="W20" s="54">
        <f>'Prognoza BA'!Y9</f>
        <v>145019.98654661217</v>
      </c>
      <c r="X20" s="2">
        <f>'Prognoza BA'!Z9</f>
        <v>144313.36581366061</v>
      </c>
      <c r="Y20" s="2">
        <f>'Prognoza BA'!AA9</f>
        <v>143612.05423748813</v>
      </c>
      <c r="Z20" s="2">
        <f>'Prognoza BA'!AB9</f>
        <v>142916.00426705962</v>
      </c>
      <c r="AA20" s="2">
        <f>'Prognoza BA'!AC9</f>
        <v>142377.80514083212</v>
      </c>
      <c r="AB20" s="2">
        <f>'Prognoza BA'!AD9</f>
        <v>141844.3018532728</v>
      </c>
      <c r="AC20" s="2">
        <f>'Prognoza BA'!AE9</f>
        <v>141315.44578675108</v>
      </c>
      <c r="AD20" s="2">
        <f>'Prognoza BA'!AF9</f>
        <v>140791.18882732259</v>
      </c>
      <c r="AE20" s="2">
        <f>'Prognoza BA'!AG9</f>
        <v>140271.48335959771</v>
      </c>
      <c r="AF20" s="2">
        <f>'Prognoza BA'!AH9</f>
        <v>139756.28226166181</v>
      </c>
      <c r="AG20" s="2">
        <f>'Prognoza BA'!AI9</f>
        <v>139245.53890004649</v>
      </c>
      <c r="AH20" s="126">
        <f>'Prognoza BA'!AJ9</f>
        <v>138565.99523437745</v>
      </c>
    </row>
    <row r="21" spans="1:35" x14ac:dyDescent="0.25">
      <c r="A21" s="207"/>
      <c r="B21" s="4" t="s">
        <v>62</v>
      </c>
      <c r="C21" s="29" t="s">
        <v>2</v>
      </c>
      <c r="D21" s="21">
        <f t="shared" ref="D21:AH21" si="10">D22/D25</f>
        <v>0</v>
      </c>
      <c r="E21" s="7">
        <f t="shared" si="10"/>
        <v>0</v>
      </c>
      <c r="F21" s="7">
        <f t="shared" si="10"/>
        <v>0</v>
      </c>
      <c r="G21" s="7">
        <f t="shared" si="10"/>
        <v>0</v>
      </c>
      <c r="H21" s="7">
        <f t="shared" si="10"/>
        <v>0</v>
      </c>
      <c r="I21" s="7">
        <f t="shared" si="10"/>
        <v>0</v>
      </c>
      <c r="J21" s="7">
        <f t="shared" si="10"/>
        <v>0</v>
      </c>
      <c r="K21" s="7">
        <f t="shared" si="10"/>
        <v>0</v>
      </c>
      <c r="L21" s="7">
        <f t="shared" si="10"/>
        <v>0</v>
      </c>
      <c r="M21" s="7">
        <f t="shared" si="10"/>
        <v>0</v>
      </c>
      <c r="N21" s="7">
        <f t="shared" si="10"/>
        <v>0</v>
      </c>
      <c r="O21" s="7">
        <f t="shared" si="10"/>
        <v>0</v>
      </c>
      <c r="P21" s="7">
        <f t="shared" si="10"/>
        <v>0</v>
      </c>
      <c r="Q21" s="7">
        <f t="shared" si="10"/>
        <v>0</v>
      </c>
      <c r="R21" s="7">
        <f t="shared" si="10"/>
        <v>0</v>
      </c>
      <c r="S21" s="7">
        <f t="shared" si="10"/>
        <v>0</v>
      </c>
      <c r="T21" s="7">
        <f t="shared" si="10"/>
        <v>0</v>
      </c>
      <c r="U21" s="7">
        <f t="shared" si="10"/>
        <v>0</v>
      </c>
      <c r="V21" s="7">
        <f t="shared" si="10"/>
        <v>0</v>
      </c>
      <c r="W21" s="7">
        <f t="shared" si="10"/>
        <v>0</v>
      </c>
      <c r="X21" s="7">
        <f t="shared" si="10"/>
        <v>0</v>
      </c>
      <c r="Y21" s="7">
        <f t="shared" si="10"/>
        <v>0</v>
      </c>
      <c r="Z21" s="7">
        <f t="shared" si="10"/>
        <v>0</v>
      </c>
      <c r="AA21" s="7">
        <f t="shared" si="10"/>
        <v>0</v>
      </c>
      <c r="AB21" s="7">
        <f t="shared" si="10"/>
        <v>0</v>
      </c>
      <c r="AC21" s="7">
        <f t="shared" si="10"/>
        <v>0</v>
      </c>
      <c r="AD21" s="7">
        <f t="shared" si="10"/>
        <v>0</v>
      </c>
      <c r="AE21" s="7">
        <f t="shared" si="10"/>
        <v>0</v>
      </c>
      <c r="AF21" s="7">
        <f t="shared" si="10"/>
        <v>0</v>
      </c>
      <c r="AG21" s="7">
        <f t="shared" si="10"/>
        <v>0</v>
      </c>
      <c r="AH21" s="132">
        <f t="shared" si="10"/>
        <v>0</v>
      </c>
    </row>
    <row r="22" spans="1:35" x14ac:dyDescent="0.25">
      <c r="A22" s="207"/>
      <c r="B22" s="4" t="s">
        <v>62</v>
      </c>
      <c r="C22" s="29" t="s">
        <v>18</v>
      </c>
      <c r="D22" s="22">
        <v>0</v>
      </c>
      <c r="E22" s="45">
        <f>D22</f>
        <v>0</v>
      </c>
      <c r="F22" s="45">
        <f t="shared" ref="F22:AH22" si="11">E22</f>
        <v>0</v>
      </c>
      <c r="G22" s="45">
        <f t="shared" si="11"/>
        <v>0</v>
      </c>
      <c r="H22" s="45">
        <f t="shared" si="11"/>
        <v>0</v>
      </c>
      <c r="I22" s="45">
        <f t="shared" si="11"/>
        <v>0</v>
      </c>
      <c r="J22" s="65">
        <f t="shared" si="11"/>
        <v>0</v>
      </c>
      <c r="K22" s="82">
        <f t="shared" si="11"/>
        <v>0</v>
      </c>
      <c r="L22" s="54">
        <f t="shared" si="11"/>
        <v>0</v>
      </c>
      <c r="M22" s="54">
        <f t="shared" si="11"/>
        <v>0</v>
      </c>
      <c r="N22" s="54">
        <f t="shared" si="11"/>
        <v>0</v>
      </c>
      <c r="O22" s="54">
        <f t="shared" si="11"/>
        <v>0</v>
      </c>
      <c r="P22" s="54">
        <f t="shared" si="11"/>
        <v>0</v>
      </c>
      <c r="Q22" s="54">
        <f t="shared" si="11"/>
        <v>0</v>
      </c>
      <c r="R22" s="54">
        <f t="shared" si="11"/>
        <v>0</v>
      </c>
      <c r="S22" s="54">
        <f t="shared" si="11"/>
        <v>0</v>
      </c>
      <c r="T22" s="54">
        <f t="shared" si="11"/>
        <v>0</v>
      </c>
      <c r="U22" s="54">
        <f t="shared" si="11"/>
        <v>0</v>
      </c>
      <c r="V22" s="54">
        <f t="shared" si="11"/>
        <v>0</v>
      </c>
      <c r="W22" s="54">
        <f t="shared" si="11"/>
        <v>0</v>
      </c>
      <c r="X22" s="54">
        <f t="shared" si="11"/>
        <v>0</v>
      </c>
      <c r="Y22" s="54">
        <f t="shared" si="11"/>
        <v>0</v>
      </c>
      <c r="Z22" s="54">
        <f t="shared" si="11"/>
        <v>0</v>
      </c>
      <c r="AA22" s="54">
        <f t="shared" si="11"/>
        <v>0</v>
      </c>
      <c r="AB22" s="54">
        <f t="shared" si="11"/>
        <v>0</v>
      </c>
      <c r="AC22" s="54">
        <f t="shared" si="11"/>
        <v>0</v>
      </c>
      <c r="AD22" s="54">
        <f t="shared" si="11"/>
        <v>0</v>
      </c>
      <c r="AE22" s="54">
        <f t="shared" si="11"/>
        <v>0</v>
      </c>
      <c r="AF22" s="54">
        <f t="shared" si="11"/>
        <v>0</v>
      </c>
      <c r="AG22" s="54">
        <f t="shared" si="11"/>
        <v>0</v>
      </c>
      <c r="AH22" s="199">
        <f t="shared" si="11"/>
        <v>0</v>
      </c>
    </row>
    <row r="23" spans="1:35" x14ac:dyDescent="0.25">
      <c r="A23" s="207"/>
      <c r="B23" s="11" t="s">
        <v>63</v>
      </c>
      <c r="C23" s="30" t="s">
        <v>2</v>
      </c>
      <c r="D23" s="24">
        <f t="shared" ref="D23:AH23" si="12">D24/D25</f>
        <v>0.55212328561157564</v>
      </c>
      <c r="E23" s="17">
        <f t="shared" si="12"/>
        <v>0.52893663752928777</v>
      </c>
      <c r="F23" s="17">
        <f t="shared" si="12"/>
        <v>0.51258541782691747</v>
      </c>
      <c r="G23" s="17">
        <f t="shared" si="12"/>
        <v>0.49592764358971547</v>
      </c>
      <c r="H23" s="17">
        <f t="shared" si="12"/>
        <v>0.47946414149405431</v>
      </c>
      <c r="I23" s="17">
        <f t="shared" si="12"/>
        <v>0.46354343020590738</v>
      </c>
      <c r="J23" s="17">
        <f t="shared" si="12"/>
        <v>0.4639973804659146</v>
      </c>
      <c r="K23" s="17">
        <f t="shared" si="12"/>
        <v>0.46180577716152132</v>
      </c>
      <c r="L23" s="17">
        <f t="shared" si="12"/>
        <v>0.45962611834382583</v>
      </c>
      <c r="M23" s="17">
        <f t="shared" si="12"/>
        <v>0.45745835623500697</v>
      </c>
      <c r="N23" s="17">
        <f t="shared" si="12"/>
        <v>0.45530244296999883</v>
      </c>
      <c r="O23" s="17">
        <f t="shared" si="12"/>
        <v>0.45315833060231475</v>
      </c>
      <c r="P23" s="17">
        <f t="shared" si="12"/>
        <v>0.4510259711097786</v>
      </c>
      <c r="Q23" s="17">
        <f t="shared" si="12"/>
        <v>0.44874732547514307</v>
      </c>
      <c r="R23" s="17">
        <f t="shared" si="12"/>
        <v>0.44702375558121232</v>
      </c>
      <c r="S23" s="17">
        <f t="shared" si="12"/>
        <v>0.44530451361275963</v>
      </c>
      <c r="T23" s="17">
        <f t="shared" si="12"/>
        <v>0.44358963070204649</v>
      </c>
      <c r="U23" s="17">
        <f t="shared" si="12"/>
        <v>0.44187913757474179</v>
      </c>
      <c r="V23" s="17">
        <f t="shared" si="12"/>
        <v>0.44017306454924088</v>
      </c>
      <c r="W23" s="17">
        <f t="shared" si="12"/>
        <v>0.43847144153604967</v>
      </c>
      <c r="X23" s="17">
        <f t="shared" si="12"/>
        <v>0.43677429803723483</v>
      </c>
      <c r="Y23" s="17">
        <f t="shared" si="12"/>
        <v>0.43508166314593771</v>
      </c>
      <c r="Z23" s="17">
        <f t="shared" si="12"/>
        <v>0.43339356554595232</v>
      </c>
      <c r="AA23" s="17">
        <f t="shared" si="12"/>
        <v>0.43136416923861121</v>
      </c>
      <c r="AB23" s="17">
        <f t="shared" si="12"/>
        <v>0.42934144610610481</v>
      </c>
      <c r="AC23" s="17">
        <f t="shared" si="12"/>
        <v>0.4273254548779899</v>
      </c>
      <c r="AD23" s="17">
        <f t="shared" si="12"/>
        <v>0.42531625320831762</v>
      </c>
      <c r="AE23" s="17">
        <f t="shared" si="12"/>
        <v>0.42331389767419125</v>
      </c>
      <c r="AF23" s="17">
        <f t="shared" si="12"/>
        <v>0.42131844377462568</v>
      </c>
      <c r="AG23" s="17">
        <f t="shared" si="12"/>
        <v>0.41932994592970207</v>
      </c>
      <c r="AH23" s="133">
        <f t="shared" si="12"/>
        <v>0.4177337891956972</v>
      </c>
    </row>
    <row r="24" spans="1:35" ht="15.75" thickBot="1" x14ac:dyDescent="0.3">
      <c r="A24" s="207"/>
      <c r="B24" s="12" t="s">
        <v>63</v>
      </c>
      <c r="C24" s="31" t="s">
        <v>17</v>
      </c>
      <c r="D24" s="52">
        <f>D18+D20+D22</f>
        <v>807869</v>
      </c>
      <c r="E24" s="53">
        <f t="shared" ref="E24:AH24" si="13">E22+E20+E18</f>
        <v>779817.25496670348</v>
      </c>
      <c r="F24" s="53">
        <f t="shared" si="13"/>
        <v>772988.08064664877</v>
      </c>
      <c r="G24" s="53">
        <f t="shared" si="13"/>
        <v>766303.2756161805</v>
      </c>
      <c r="H24" s="53">
        <f t="shared" si="13"/>
        <v>759736.51444024697</v>
      </c>
      <c r="I24" s="53">
        <f t="shared" si="13"/>
        <v>753265.30482579675</v>
      </c>
      <c r="J24" s="53">
        <f t="shared" si="13"/>
        <v>782821.15493195434</v>
      </c>
      <c r="K24" s="53">
        <f t="shared" si="13"/>
        <v>776125.10638834268</v>
      </c>
      <c r="L24" s="53">
        <f t="shared" si="13"/>
        <v>769492.48898378131</v>
      </c>
      <c r="M24" s="53">
        <f t="shared" si="13"/>
        <v>762922.68059917272</v>
      </c>
      <c r="N24" s="53">
        <f t="shared" si="13"/>
        <v>756415.06533314963</v>
      </c>
      <c r="O24" s="53">
        <f t="shared" si="13"/>
        <v>749969.03343938722</v>
      </c>
      <c r="P24" s="53">
        <f t="shared" si="13"/>
        <v>743583.98126454826</v>
      </c>
      <c r="Q24" s="53">
        <f t="shared" si="13"/>
        <v>737342.64982455003</v>
      </c>
      <c r="R24" s="53">
        <f t="shared" si="13"/>
        <v>730874.30908342684</v>
      </c>
      <c r="S24" s="53">
        <f t="shared" si="13"/>
        <v>724468.50324361131</v>
      </c>
      <c r="T24" s="53">
        <f t="shared" si="13"/>
        <v>718124.61364794977</v>
      </c>
      <c r="U24" s="53">
        <f t="shared" si="13"/>
        <v>711842.02781899425</v>
      </c>
      <c r="V24" s="53">
        <f t="shared" si="13"/>
        <v>705620.13939706679</v>
      </c>
      <c r="W24" s="53">
        <f t="shared" si="13"/>
        <v>699458.34807894728</v>
      </c>
      <c r="X24" s="53">
        <f t="shared" si="13"/>
        <v>693356.05955717526</v>
      </c>
      <c r="Y24" s="53">
        <f t="shared" si="13"/>
        <v>687312.68545996048</v>
      </c>
      <c r="Z24" s="53">
        <f t="shared" si="13"/>
        <v>681327.64329169644</v>
      </c>
      <c r="AA24" s="53">
        <f t="shared" si="13"/>
        <v>675583.51995851111</v>
      </c>
      <c r="AB24" s="53">
        <f t="shared" si="13"/>
        <v>669896.01447554491</v>
      </c>
      <c r="AC24" s="53">
        <f t="shared" si="13"/>
        <v>664264.55867320264</v>
      </c>
      <c r="AD24" s="53">
        <f t="shared" si="13"/>
        <v>658688.59008459747</v>
      </c>
      <c r="AE24" s="53">
        <f t="shared" si="13"/>
        <v>653167.55188840942</v>
      </c>
      <c r="AF24" s="53">
        <f t="shared" si="13"/>
        <v>647700.89285231743</v>
      </c>
      <c r="AG24" s="53">
        <f t="shared" si="13"/>
        <v>642288.06727699586</v>
      </c>
      <c r="AH24" s="131">
        <f t="shared" si="13"/>
        <v>636720.68067222356</v>
      </c>
    </row>
    <row r="25" spans="1:35" ht="15.75" thickBot="1" x14ac:dyDescent="0.3">
      <c r="A25" s="208"/>
      <c r="B25" s="13" t="s">
        <v>19</v>
      </c>
      <c r="C25" s="32" t="s">
        <v>17</v>
      </c>
      <c r="D25" s="135">
        <f>D15+D24</f>
        <v>1463204</v>
      </c>
      <c r="E25" s="98">
        <f t="shared" ref="E25:AG25" si="14">E15+E24</f>
        <v>1474311.2872825419</v>
      </c>
      <c r="F25" s="98">
        <f t="shared" si="14"/>
        <v>1508018.0858903411</v>
      </c>
      <c r="G25" s="98">
        <f t="shared" si="14"/>
        <v>1545191.693831346</v>
      </c>
      <c r="H25" s="98">
        <f t="shared" si="14"/>
        <v>1584553.3559044441</v>
      </c>
      <c r="I25" s="98">
        <f t="shared" si="14"/>
        <v>1625015.5988430125</v>
      </c>
      <c r="J25" s="98">
        <f t="shared" si="14"/>
        <v>1687124.0827823179</v>
      </c>
      <c r="K25" s="98">
        <f t="shared" si="14"/>
        <v>1680631.0028401506</v>
      </c>
      <c r="L25" s="98">
        <f t="shared" si="14"/>
        <v>1674170.5013555349</v>
      </c>
      <c r="M25" s="98">
        <f t="shared" si="14"/>
        <v>1667742.364306581</v>
      </c>
      <c r="N25" s="98">
        <f t="shared" si="14"/>
        <v>1661346.3797798948</v>
      </c>
      <c r="O25" s="98">
        <f t="shared" si="14"/>
        <v>1654982.3379448126</v>
      </c>
      <c r="P25" s="98">
        <f t="shared" si="14"/>
        <v>1648650.031027951</v>
      </c>
      <c r="Q25" s="98">
        <f t="shared" si="14"/>
        <v>1643113.190800271</v>
      </c>
      <c r="R25" s="98">
        <f t="shared" si="14"/>
        <v>1634978.6783325577</v>
      </c>
      <c r="S25" s="98">
        <f t="shared" si="14"/>
        <v>1626905.8163502356</v>
      </c>
      <c r="T25" s="98">
        <f t="shared" si="14"/>
        <v>1618894.0496905008</v>
      </c>
      <c r="U25" s="98">
        <f t="shared" si="14"/>
        <v>1610942.8286792324</v>
      </c>
      <c r="V25" s="98">
        <f t="shared" si="14"/>
        <v>1603051.6090748464</v>
      </c>
      <c r="W25" s="98">
        <f t="shared" si="14"/>
        <v>1595219.8520127339</v>
      </c>
      <c r="X25" s="98">
        <f t="shared" si="14"/>
        <v>1587447.0239502667</v>
      </c>
      <c r="Y25" s="98">
        <f t="shared" si="14"/>
        <v>1579732.5966123696</v>
      </c>
      <c r="Z25" s="98">
        <f t="shared" si="14"/>
        <v>1572076.0469376557</v>
      </c>
      <c r="AA25" s="98">
        <f t="shared" si="14"/>
        <v>1566155.8565491533</v>
      </c>
      <c r="AB25" s="98">
        <f t="shared" si="14"/>
        <v>1560287.3203860009</v>
      </c>
      <c r="AC25" s="98">
        <f t="shared" si="14"/>
        <v>1554469.903654262</v>
      </c>
      <c r="AD25" s="98">
        <f t="shared" si="14"/>
        <v>1548703.0771005484</v>
      </c>
      <c r="AE25" s="98">
        <f t="shared" si="14"/>
        <v>1542986.3169555748</v>
      </c>
      <c r="AF25" s="98">
        <f t="shared" si="14"/>
        <v>1537319.1048782798</v>
      </c>
      <c r="AG25" s="98">
        <f t="shared" si="14"/>
        <v>1531700.9279005113</v>
      </c>
      <c r="AH25" s="170">
        <f>AH15+AH24</f>
        <v>1524225.9475781519</v>
      </c>
      <c r="AI25" s="1"/>
    </row>
    <row r="26" spans="1:35" ht="15" customHeight="1" x14ac:dyDescent="0.25">
      <c r="A26" s="36" t="s">
        <v>24</v>
      </c>
      <c r="B26" s="37" t="s">
        <v>21</v>
      </c>
      <c r="C26" s="33"/>
      <c r="D26" s="38"/>
      <c r="E26" s="38"/>
      <c r="F26" s="38"/>
      <c r="G26" s="38"/>
      <c r="H26" s="38"/>
      <c r="I26" s="38"/>
      <c r="J26" s="87">
        <f t="shared" ref="J26" si="15">J28/J27</f>
        <v>1.6960568399481453</v>
      </c>
      <c r="K26" s="55">
        <f t="shared" ref="K26:AH26" si="16">K28/K27</f>
        <v>1.6891502556387397</v>
      </c>
      <c r="L26" s="6">
        <f t="shared" si="16"/>
        <v>1.6823368781345724</v>
      </c>
      <c r="M26" s="49">
        <f t="shared" si="16"/>
        <v>1.6756149864962075</v>
      </c>
      <c r="N26" s="6">
        <f t="shared" si="16"/>
        <v>1.6689829013513231</v>
      </c>
      <c r="O26" s="6">
        <f t="shared" si="16"/>
        <v>1.6624389836499118</v>
      </c>
      <c r="P26" s="6">
        <f t="shared" si="16"/>
        <v>1.6559816334639401</v>
      </c>
      <c r="Q26" s="6">
        <f t="shared" si="16"/>
        <v>1.6491365050962965</v>
      </c>
      <c r="R26" s="6">
        <f t="shared" si="16"/>
        <v>1.6439963167792497</v>
      </c>
      <c r="S26" s="6">
        <f t="shared" si="16"/>
        <v>1.6389008589412974</v>
      </c>
      <c r="T26" s="6">
        <f t="shared" si="16"/>
        <v>1.6338496894620196</v>
      </c>
      <c r="U26" s="6">
        <f t="shared" si="16"/>
        <v>1.6288423714185234</v>
      </c>
      <c r="V26" s="6">
        <f t="shared" si="16"/>
        <v>1.6238784730122551</v>
      </c>
      <c r="W26" s="39">
        <f t="shared" si="16"/>
        <v>1.6189575674970269</v>
      </c>
      <c r="X26" s="6">
        <f t="shared" si="16"/>
        <v>1.6140792331082381</v>
      </c>
      <c r="Y26" s="6">
        <f t="shared" si="16"/>
        <v>1.6092430529932653</v>
      </c>
      <c r="Z26" s="6">
        <f t="shared" si="16"/>
        <v>1.6044486151429984</v>
      </c>
      <c r="AA26" s="6">
        <f t="shared" si="16"/>
        <v>1.5987225213607446</v>
      </c>
      <c r="AB26" s="6">
        <f t="shared" si="16"/>
        <v>1.5930557824599609</v>
      </c>
      <c r="AC26" s="6">
        <f t="shared" si="16"/>
        <v>1.5874477342051661</v>
      </c>
      <c r="AD26" s="6">
        <f t="shared" si="16"/>
        <v>1.5818977205569833</v>
      </c>
      <c r="AE26" s="6">
        <f t="shared" si="16"/>
        <v>1.5764050935586833</v>
      </c>
      <c r="AF26" s="6">
        <f t="shared" si="16"/>
        <v>1.5709692132245061</v>
      </c>
      <c r="AG26" s="6">
        <f t="shared" si="16"/>
        <v>1.5655894474297296</v>
      </c>
      <c r="AH26" s="6">
        <f t="shared" si="16"/>
        <v>1.5612977229696239</v>
      </c>
    </row>
    <row r="27" spans="1:35" ht="30" x14ac:dyDescent="0.25">
      <c r="A27" s="40" t="s">
        <v>25</v>
      </c>
      <c r="B27" s="8" t="s">
        <v>20</v>
      </c>
      <c r="C27" s="26"/>
      <c r="D27" s="41"/>
      <c r="E27" s="41"/>
      <c r="F27" s="41"/>
      <c r="G27" s="41"/>
      <c r="H27" s="41"/>
      <c r="I27" s="41"/>
      <c r="J27" s="42">
        <v>1.1000000000000001</v>
      </c>
      <c r="K27" s="42">
        <f>J27</f>
        <v>1.1000000000000001</v>
      </c>
      <c r="L27" s="5">
        <f t="shared" ref="L27:AH27" si="17">K27</f>
        <v>1.1000000000000001</v>
      </c>
      <c r="M27" s="50">
        <f t="shared" si="17"/>
        <v>1.1000000000000001</v>
      </c>
      <c r="N27" s="5">
        <f t="shared" si="17"/>
        <v>1.1000000000000001</v>
      </c>
      <c r="O27" s="5">
        <f t="shared" si="17"/>
        <v>1.1000000000000001</v>
      </c>
      <c r="P27" s="5">
        <f t="shared" si="17"/>
        <v>1.1000000000000001</v>
      </c>
      <c r="Q27" s="5">
        <f t="shared" si="17"/>
        <v>1.1000000000000001</v>
      </c>
      <c r="R27" s="5">
        <f t="shared" si="17"/>
        <v>1.1000000000000001</v>
      </c>
      <c r="S27" s="5">
        <f t="shared" si="17"/>
        <v>1.1000000000000001</v>
      </c>
      <c r="T27" s="5">
        <f t="shared" si="17"/>
        <v>1.1000000000000001</v>
      </c>
      <c r="U27" s="5">
        <f t="shared" si="17"/>
        <v>1.1000000000000001</v>
      </c>
      <c r="V27" s="5">
        <f t="shared" si="17"/>
        <v>1.1000000000000001</v>
      </c>
      <c r="W27" s="42">
        <f t="shared" si="17"/>
        <v>1.1000000000000001</v>
      </c>
      <c r="X27" s="5">
        <f t="shared" si="17"/>
        <v>1.1000000000000001</v>
      </c>
      <c r="Y27" s="5">
        <f t="shared" si="17"/>
        <v>1.1000000000000001</v>
      </c>
      <c r="Z27" s="5">
        <f t="shared" si="17"/>
        <v>1.1000000000000001</v>
      </c>
      <c r="AA27" s="5">
        <f t="shared" si="17"/>
        <v>1.1000000000000001</v>
      </c>
      <c r="AB27" s="5">
        <f t="shared" si="17"/>
        <v>1.1000000000000001</v>
      </c>
      <c r="AC27" s="5">
        <f t="shared" si="17"/>
        <v>1.1000000000000001</v>
      </c>
      <c r="AD27" s="5">
        <f t="shared" si="17"/>
        <v>1.1000000000000001</v>
      </c>
      <c r="AE27" s="5">
        <f t="shared" si="17"/>
        <v>1.1000000000000001</v>
      </c>
      <c r="AF27" s="5">
        <f t="shared" si="17"/>
        <v>1.1000000000000001</v>
      </c>
      <c r="AG27" s="5">
        <f t="shared" si="17"/>
        <v>1.1000000000000001</v>
      </c>
      <c r="AH27" s="5">
        <f t="shared" si="17"/>
        <v>1.1000000000000001</v>
      </c>
    </row>
    <row r="28" spans="1:35" ht="15.75" thickBot="1" x14ac:dyDescent="0.3">
      <c r="A28" s="9"/>
      <c r="B28" s="43" t="s">
        <v>26</v>
      </c>
      <c r="C28" s="25"/>
      <c r="D28" s="34">
        <f t="shared" ref="D28:I28" si="18">(D15+D18+D20+D22)/D15</f>
        <v>2.2327572920719936</v>
      </c>
      <c r="E28" s="34">
        <f t="shared" si="18"/>
        <v>2.1228566678483167</v>
      </c>
      <c r="F28" s="34">
        <f t="shared" si="18"/>
        <v>2.0516415318179724</v>
      </c>
      <c r="G28" s="34">
        <f t="shared" si="18"/>
        <v>1.9838421752016495</v>
      </c>
      <c r="H28" s="34">
        <f t="shared" si="18"/>
        <v>1.9210972378929354</v>
      </c>
      <c r="I28" s="34">
        <f t="shared" si="18"/>
        <v>1.8640837978437448</v>
      </c>
      <c r="J28" s="34">
        <f>(J15+J18+J20+J22)/(J15)</f>
        <v>1.8656625239429601</v>
      </c>
      <c r="K28" s="34">
        <f>(K15+K18+K20+K22)/(K15)</f>
        <v>1.8580652812026137</v>
      </c>
      <c r="L28" s="34">
        <f t="shared" ref="L28:AH28" si="19">(L15+L18+L20+L22)/(L15)</f>
        <v>1.8505705659480298</v>
      </c>
      <c r="M28" s="46">
        <f t="shared" si="19"/>
        <v>1.8431764851458285</v>
      </c>
      <c r="N28" s="34">
        <f t="shared" si="19"/>
        <v>1.8358811914864555</v>
      </c>
      <c r="O28" s="34">
        <f t="shared" si="19"/>
        <v>1.8286828820149033</v>
      </c>
      <c r="P28" s="34">
        <f t="shared" si="19"/>
        <v>1.8215797968103342</v>
      </c>
      <c r="Q28" s="34">
        <f t="shared" si="19"/>
        <v>1.8140501556059263</v>
      </c>
      <c r="R28" s="34">
        <f t="shared" si="19"/>
        <v>1.8083959484571748</v>
      </c>
      <c r="S28" s="34">
        <f t="shared" si="19"/>
        <v>1.8027909448354273</v>
      </c>
      <c r="T28" s="34">
        <f t="shared" si="19"/>
        <v>1.7972346584082217</v>
      </c>
      <c r="U28" s="34">
        <f t="shared" si="19"/>
        <v>1.7917266085603758</v>
      </c>
      <c r="V28" s="34">
        <f t="shared" si="19"/>
        <v>1.7862663203134808</v>
      </c>
      <c r="W28" s="34">
        <f t="shared" si="19"/>
        <v>1.7808533242467297</v>
      </c>
      <c r="X28" s="34">
        <f t="shared" si="19"/>
        <v>1.775487156419062</v>
      </c>
      <c r="Y28" s="34">
        <f t="shared" si="19"/>
        <v>1.7701673582925919</v>
      </c>
      <c r="Z28" s="34">
        <f t="shared" si="19"/>
        <v>1.7648934766572983</v>
      </c>
      <c r="AA28" s="34">
        <f t="shared" si="19"/>
        <v>1.758594773496819</v>
      </c>
      <c r="AB28" s="34">
        <f t="shared" si="19"/>
        <v>1.7523613607059572</v>
      </c>
      <c r="AC28" s="34">
        <f t="shared" si="19"/>
        <v>1.7461925076256828</v>
      </c>
      <c r="AD28" s="34">
        <f t="shared" si="19"/>
        <v>1.7400874926126817</v>
      </c>
      <c r="AE28" s="34">
        <f t="shared" si="19"/>
        <v>1.7340456029145517</v>
      </c>
      <c r="AF28" s="34">
        <f t="shared" si="19"/>
        <v>1.7280661345469568</v>
      </c>
      <c r="AG28" s="34">
        <f t="shared" si="19"/>
        <v>1.7221483921727028</v>
      </c>
      <c r="AH28" s="44">
        <f t="shared" si="19"/>
        <v>1.7174274952665864</v>
      </c>
    </row>
    <row r="29" spans="1:35" x14ac:dyDescent="0.25">
      <c r="C29"/>
    </row>
    <row r="30" spans="1:35" x14ac:dyDescent="0.25">
      <c r="A30" t="s">
        <v>34</v>
      </c>
      <c r="C30" s="35">
        <f>D18-K18</f>
        <v>45522.530233489233</v>
      </c>
      <c r="K30" s="1"/>
    </row>
    <row r="31" spans="1:35" x14ac:dyDescent="0.25">
      <c r="C31" s="70"/>
      <c r="J31">
        <f>J15*J28</f>
        <v>1687124.0827823179</v>
      </c>
    </row>
  </sheetData>
  <dataConsolidate/>
  <mergeCells count="4">
    <mergeCell ref="B7:C7"/>
    <mergeCell ref="B2:C2"/>
    <mergeCell ref="B16:AH16"/>
    <mergeCell ref="A7:A2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AJ23"/>
  <sheetViews>
    <sheetView zoomScale="80" zoomScaleNormal="80" workbookViewId="0">
      <selection activeCell="L16" sqref="L16"/>
    </sheetView>
  </sheetViews>
  <sheetFormatPr defaultRowHeight="15" outlineLevelCol="1" x14ac:dyDescent="0.25"/>
  <cols>
    <col min="1" max="1" width="15.28515625" customWidth="1"/>
    <col min="2" max="2" width="5" customWidth="1"/>
    <col min="3" max="3" width="3.85546875" customWidth="1"/>
    <col min="4" max="4" width="31.140625" customWidth="1"/>
    <col min="5" max="5" width="8.85546875" style="83" customWidth="1"/>
    <col min="6" max="6" width="11.140625" customWidth="1"/>
    <col min="7" max="7" width="11.5703125" hidden="1" customWidth="1" outlineLevel="1"/>
    <col min="8" max="8" width="10.5703125" hidden="1" customWidth="1" outlineLevel="1"/>
    <col min="9" max="11" width="12.5703125" hidden="1" customWidth="1" outlineLevel="1"/>
    <col min="12" max="12" width="12.5703125" customWidth="1" collapsed="1"/>
    <col min="13" max="13" width="12.5703125" hidden="1" customWidth="1" outlineLevel="1"/>
    <col min="14" max="15" width="10.140625" hidden="1" customWidth="1" outlineLevel="1"/>
    <col min="16" max="16" width="12.5703125" hidden="1" customWidth="1" outlineLevel="1"/>
    <col min="17" max="23" width="10.140625" hidden="1" customWidth="1" outlineLevel="1"/>
    <col min="24" max="24" width="10.5703125" hidden="1" customWidth="1" outlineLevel="1"/>
    <col min="25" max="25" width="12.5703125" hidden="1" customWidth="1" outlineLevel="1"/>
    <col min="26" max="35" width="10.140625" hidden="1" customWidth="1" outlineLevel="1"/>
    <col min="36" max="36" width="10.140625" customWidth="1" collapsed="1"/>
  </cols>
  <sheetData>
    <row r="1" spans="1:36" ht="15.75" thickBot="1" x14ac:dyDescent="0.3">
      <c r="B1" s="217" t="s">
        <v>99</v>
      </c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7"/>
      <c r="W1" s="217"/>
      <c r="X1" s="217"/>
      <c r="Y1" s="217"/>
      <c r="Z1" s="217"/>
      <c r="AA1" s="217"/>
      <c r="AB1" s="217"/>
      <c r="AC1" s="217"/>
      <c r="AD1" s="217"/>
      <c r="AE1" s="217"/>
      <c r="AF1" s="217"/>
      <c r="AG1" s="217"/>
      <c r="AH1" s="217"/>
      <c r="AI1" s="217"/>
      <c r="AJ1" s="217"/>
    </row>
    <row r="2" spans="1:36" ht="15.75" thickBot="1" x14ac:dyDescent="0.3">
      <c r="A2" s="209">
        <f>'Prognoza Apa'!A7</f>
        <v>0</v>
      </c>
      <c r="B2" s="215" t="str">
        <f>'Prognoza Apa'!B7</f>
        <v>Tg Secuiesc</v>
      </c>
      <c r="C2" s="216"/>
      <c r="D2" s="216"/>
      <c r="E2" s="94" t="s">
        <v>64</v>
      </c>
      <c r="F2" s="16">
        <v>2018</v>
      </c>
      <c r="G2" s="16">
        <v>2019</v>
      </c>
      <c r="H2" s="16">
        <v>2020</v>
      </c>
      <c r="I2" s="16">
        <v>2021</v>
      </c>
      <c r="J2" s="16">
        <v>2022</v>
      </c>
      <c r="K2" s="16">
        <v>2023</v>
      </c>
      <c r="L2" s="16">
        <v>2024</v>
      </c>
      <c r="M2" s="16">
        <v>2025</v>
      </c>
      <c r="N2" s="16">
        <v>2026</v>
      </c>
      <c r="O2" s="16">
        <v>2027</v>
      </c>
      <c r="P2" s="16">
        <v>2028</v>
      </c>
      <c r="Q2" s="16">
        <v>2029</v>
      </c>
      <c r="R2" s="16">
        <v>2030</v>
      </c>
      <c r="S2" s="16">
        <v>2031</v>
      </c>
      <c r="T2" s="16">
        <v>2032</v>
      </c>
      <c r="U2" s="16">
        <v>2033</v>
      </c>
      <c r="V2" s="16">
        <v>2034</v>
      </c>
      <c r="W2" s="16">
        <v>2035</v>
      </c>
      <c r="X2" s="16">
        <v>2036</v>
      </c>
      <c r="Y2" s="16">
        <v>2037</v>
      </c>
      <c r="Z2" s="16">
        <v>2038</v>
      </c>
      <c r="AA2" s="16">
        <v>2039</v>
      </c>
      <c r="AB2" s="16">
        <v>2040</v>
      </c>
      <c r="AC2" s="16">
        <v>2041</v>
      </c>
      <c r="AD2" s="16">
        <v>2042</v>
      </c>
      <c r="AE2" s="16">
        <v>2043</v>
      </c>
      <c r="AF2" s="16">
        <v>2044</v>
      </c>
      <c r="AG2" s="16">
        <v>2045</v>
      </c>
      <c r="AH2" s="16">
        <v>2046</v>
      </c>
      <c r="AI2" s="16">
        <v>2047</v>
      </c>
      <c r="AJ2" s="95">
        <v>2048</v>
      </c>
    </row>
    <row r="3" spans="1:36" ht="15.75" thickBot="1" x14ac:dyDescent="0.3">
      <c r="A3" s="210"/>
      <c r="B3" s="164" t="s">
        <v>22</v>
      </c>
      <c r="C3" s="163" t="s">
        <v>47</v>
      </c>
      <c r="D3" s="184"/>
      <c r="E3" s="185" t="s">
        <v>17</v>
      </c>
      <c r="F3" s="178">
        <f>F4+F8</f>
        <v>1463204</v>
      </c>
      <c r="G3" s="136">
        <f>G4+G8</f>
        <v>1474311.2872825419</v>
      </c>
      <c r="H3" s="136">
        <f t="shared" ref="H3:AJ3" si="0">H4+H8</f>
        <v>1508018.0858903411</v>
      </c>
      <c r="I3" s="136">
        <f t="shared" si="0"/>
        <v>1545191.693831346</v>
      </c>
      <c r="J3" s="136">
        <f t="shared" si="0"/>
        <v>1584553.3559044441</v>
      </c>
      <c r="K3" s="136">
        <f t="shared" si="0"/>
        <v>1625015.5988430125</v>
      </c>
      <c r="L3" s="136">
        <f t="shared" si="0"/>
        <v>1687124.0827823179</v>
      </c>
      <c r="M3" s="136">
        <f t="shared" si="0"/>
        <v>1680631.0028401506</v>
      </c>
      <c r="N3" s="136">
        <f t="shared" si="0"/>
        <v>1674170.5013555349</v>
      </c>
      <c r="O3" s="136">
        <f t="shared" si="0"/>
        <v>1667742.364306581</v>
      </c>
      <c r="P3" s="136">
        <f t="shared" si="0"/>
        <v>1661346.3797798948</v>
      </c>
      <c r="Q3" s="136">
        <f t="shared" si="0"/>
        <v>1654982.3379448126</v>
      </c>
      <c r="R3" s="136">
        <f t="shared" si="0"/>
        <v>1648650.031027951</v>
      </c>
      <c r="S3" s="136">
        <f t="shared" si="0"/>
        <v>1643113.190800271</v>
      </c>
      <c r="T3" s="136">
        <f t="shared" si="0"/>
        <v>1634978.6783325577</v>
      </c>
      <c r="U3" s="136">
        <f t="shared" si="0"/>
        <v>1626905.8163502356</v>
      </c>
      <c r="V3" s="136">
        <f t="shared" si="0"/>
        <v>1618894.0496905008</v>
      </c>
      <c r="W3" s="136">
        <f t="shared" si="0"/>
        <v>1610942.8286792324</v>
      </c>
      <c r="X3" s="136">
        <f t="shared" si="0"/>
        <v>1603051.6090748464</v>
      </c>
      <c r="Y3" s="136">
        <f t="shared" si="0"/>
        <v>1595219.8520127339</v>
      </c>
      <c r="Z3" s="136">
        <f t="shared" si="0"/>
        <v>1587447.0239502667</v>
      </c>
      <c r="AA3" s="136">
        <f t="shared" si="0"/>
        <v>1579732.5966123696</v>
      </c>
      <c r="AB3" s="136">
        <f t="shared" si="0"/>
        <v>1572076.0469376557</v>
      </c>
      <c r="AC3" s="136">
        <f t="shared" si="0"/>
        <v>1566155.8565491533</v>
      </c>
      <c r="AD3" s="136">
        <f t="shared" si="0"/>
        <v>1560287.3203860009</v>
      </c>
      <c r="AE3" s="136">
        <f t="shared" si="0"/>
        <v>1554469.903654262</v>
      </c>
      <c r="AF3" s="136">
        <f t="shared" si="0"/>
        <v>1548703.0771005484</v>
      </c>
      <c r="AG3" s="136">
        <f t="shared" si="0"/>
        <v>1542986.3169555748</v>
      </c>
      <c r="AH3" s="136">
        <f t="shared" si="0"/>
        <v>1537319.1048782798</v>
      </c>
      <c r="AI3" s="136">
        <f t="shared" si="0"/>
        <v>1531700.9279005113</v>
      </c>
      <c r="AJ3" s="177">
        <f t="shared" si="0"/>
        <v>1524225.9475781519</v>
      </c>
    </row>
    <row r="4" spans="1:36" x14ac:dyDescent="0.25">
      <c r="A4" s="210"/>
      <c r="B4" s="105" t="s">
        <v>66</v>
      </c>
      <c r="C4" s="212" t="s">
        <v>44</v>
      </c>
      <c r="D4" s="187" t="s">
        <v>57</v>
      </c>
      <c r="E4" s="188" t="s">
        <v>17</v>
      </c>
      <c r="F4" s="189">
        <f>'[3]Water Balance m3year'!$AY$8</f>
        <v>655335</v>
      </c>
      <c r="G4" s="193">
        <f>G5</f>
        <v>694494.03231583838</v>
      </c>
      <c r="H4" s="193">
        <f t="shared" ref="H4:AJ4" si="1">H5</f>
        <v>735030.00524369243</v>
      </c>
      <c r="I4" s="194">
        <f t="shared" si="1"/>
        <v>778888.41821516561</v>
      </c>
      <c r="J4" s="194">
        <f t="shared" si="1"/>
        <v>824816.84146419703</v>
      </c>
      <c r="K4" s="194">
        <f t="shared" si="1"/>
        <v>871750.29401721561</v>
      </c>
      <c r="L4" s="193">
        <f t="shared" si="1"/>
        <v>904302.92785036366</v>
      </c>
      <c r="M4" s="195">
        <f t="shared" si="1"/>
        <v>904505.89645180793</v>
      </c>
      <c r="N4" s="193">
        <f t="shared" si="1"/>
        <v>904678.01237175369</v>
      </c>
      <c r="O4" s="195">
        <f t="shared" si="1"/>
        <v>904819.68370740826</v>
      </c>
      <c r="P4" s="193">
        <f t="shared" si="1"/>
        <v>904931.31444674532</v>
      </c>
      <c r="Q4" s="193">
        <f t="shared" si="1"/>
        <v>905013.30450542539</v>
      </c>
      <c r="R4" s="193">
        <f t="shared" si="1"/>
        <v>905066.04976340279</v>
      </c>
      <c r="S4" s="193">
        <f t="shared" si="1"/>
        <v>905770.54097572097</v>
      </c>
      <c r="T4" s="193">
        <f t="shared" si="1"/>
        <v>904104.36924913083</v>
      </c>
      <c r="U4" s="193">
        <f t="shared" si="1"/>
        <v>902437.31310662418</v>
      </c>
      <c r="V4" s="193">
        <f t="shared" si="1"/>
        <v>900769.43604255107</v>
      </c>
      <c r="W4" s="193">
        <f t="shared" si="1"/>
        <v>899100.80086023815</v>
      </c>
      <c r="X4" s="193">
        <f t="shared" si="1"/>
        <v>897431.46967777971</v>
      </c>
      <c r="Y4" s="193">
        <f t="shared" si="1"/>
        <v>895761.50393378665</v>
      </c>
      <c r="Z4" s="193">
        <f t="shared" si="1"/>
        <v>894090.96439309127</v>
      </c>
      <c r="AA4" s="193">
        <f t="shared" si="1"/>
        <v>892419.91115240916</v>
      </c>
      <c r="AB4" s="193">
        <f t="shared" si="1"/>
        <v>890748.40364595933</v>
      </c>
      <c r="AC4" s="193">
        <f t="shared" si="1"/>
        <v>890572.33659064223</v>
      </c>
      <c r="AD4" s="193">
        <f t="shared" si="1"/>
        <v>890391.30591045588</v>
      </c>
      <c r="AE4" s="193">
        <f t="shared" si="1"/>
        <v>890205.3449810592</v>
      </c>
      <c r="AF4" s="193">
        <f t="shared" si="1"/>
        <v>890014.48701595108</v>
      </c>
      <c r="AG4" s="193">
        <f t="shared" si="1"/>
        <v>889818.76506716548</v>
      </c>
      <c r="AH4" s="193">
        <f t="shared" si="1"/>
        <v>889618.2120259623</v>
      </c>
      <c r="AI4" s="193">
        <f t="shared" si="1"/>
        <v>889412.86062351544</v>
      </c>
      <c r="AJ4" s="196">
        <f t="shared" si="1"/>
        <v>887505.26690592838</v>
      </c>
    </row>
    <row r="5" spans="1:36" x14ac:dyDescent="0.25">
      <c r="A5" s="210"/>
      <c r="B5" s="106" t="s">
        <v>67</v>
      </c>
      <c r="C5" s="213"/>
      <c r="D5" s="100" t="s">
        <v>46</v>
      </c>
      <c r="E5" s="93" t="s">
        <v>17</v>
      </c>
      <c r="F5" s="179">
        <f>'[3]Water Balance m3year'!$T$8</f>
        <v>655335</v>
      </c>
      <c r="G5" s="91">
        <f>G6+G7</f>
        <v>694494.03231583838</v>
      </c>
      <c r="H5" s="91">
        <f t="shared" ref="H5:AJ5" si="2">H6+H7</f>
        <v>735030.00524369243</v>
      </c>
      <c r="I5" s="91">
        <f t="shared" si="2"/>
        <v>778888.41821516561</v>
      </c>
      <c r="J5" s="91">
        <f t="shared" si="2"/>
        <v>824816.84146419703</v>
      </c>
      <c r="K5" s="91">
        <f t="shared" si="2"/>
        <v>871750.29401721561</v>
      </c>
      <c r="L5" s="109">
        <f t="shared" si="2"/>
        <v>904302.92785036366</v>
      </c>
      <c r="M5" s="110">
        <f t="shared" si="2"/>
        <v>904505.89645180793</v>
      </c>
      <c r="N5" s="110">
        <f t="shared" si="2"/>
        <v>904678.01237175369</v>
      </c>
      <c r="O5" s="110">
        <f t="shared" si="2"/>
        <v>904819.68370740826</v>
      </c>
      <c r="P5" s="110">
        <f t="shared" si="2"/>
        <v>904931.31444674532</v>
      </c>
      <c r="Q5" s="110">
        <f t="shared" si="2"/>
        <v>905013.30450542539</v>
      </c>
      <c r="R5" s="110">
        <f t="shared" si="2"/>
        <v>905066.04976340279</v>
      </c>
      <c r="S5" s="110">
        <f t="shared" si="2"/>
        <v>905770.54097572097</v>
      </c>
      <c r="T5" s="110">
        <f t="shared" si="2"/>
        <v>904104.36924913083</v>
      </c>
      <c r="U5" s="110">
        <f t="shared" si="2"/>
        <v>902437.31310662418</v>
      </c>
      <c r="V5" s="110">
        <f t="shared" si="2"/>
        <v>900769.43604255107</v>
      </c>
      <c r="W5" s="110">
        <f t="shared" si="2"/>
        <v>899100.80086023815</v>
      </c>
      <c r="X5" s="110">
        <f t="shared" si="2"/>
        <v>897431.46967777971</v>
      </c>
      <c r="Y5" s="110">
        <f t="shared" si="2"/>
        <v>895761.50393378665</v>
      </c>
      <c r="Z5" s="110">
        <f t="shared" si="2"/>
        <v>894090.96439309127</v>
      </c>
      <c r="AA5" s="110">
        <f t="shared" si="2"/>
        <v>892419.91115240916</v>
      </c>
      <c r="AB5" s="110">
        <f t="shared" si="2"/>
        <v>890748.40364595933</v>
      </c>
      <c r="AC5" s="110">
        <f t="shared" si="2"/>
        <v>890572.33659064223</v>
      </c>
      <c r="AD5" s="110">
        <f t="shared" si="2"/>
        <v>890391.30591045588</v>
      </c>
      <c r="AE5" s="110">
        <f t="shared" si="2"/>
        <v>890205.3449810592</v>
      </c>
      <c r="AF5" s="110">
        <f t="shared" si="2"/>
        <v>890014.48701595108</v>
      </c>
      <c r="AG5" s="110">
        <f t="shared" si="2"/>
        <v>889818.76506716548</v>
      </c>
      <c r="AH5" s="110">
        <f t="shared" si="2"/>
        <v>889618.2120259623</v>
      </c>
      <c r="AI5" s="110">
        <f t="shared" si="2"/>
        <v>889412.86062351544</v>
      </c>
      <c r="AJ5" s="111">
        <f t="shared" si="2"/>
        <v>887505.26690592838</v>
      </c>
    </row>
    <row r="6" spans="1:36" x14ac:dyDescent="0.25">
      <c r="A6" s="210"/>
      <c r="B6" s="106" t="s">
        <v>68</v>
      </c>
      <c r="C6" s="213"/>
      <c r="D6" s="101" t="s">
        <v>45</v>
      </c>
      <c r="E6" s="26" t="s">
        <v>17</v>
      </c>
      <c r="F6" s="180">
        <f>'[3]Water Balance m3year'!$AC$4</f>
        <v>655335</v>
      </c>
      <c r="G6" s="3">
        <f>'Prognoza Apa'!E15</f>
        <v>694494.03231583838</v>
      </c>
      <c r="H6" s="3">
        <f>'Prognoza Apa'!F15</f>
        <v>735030.00524369243</v>
      </c>
      <c r="I6" s="3">
        <f>'Prognoza Apa'!G15</f>
        <v>778888.41821516561</v>
      </c>
      <c r="J6" s="3">
        <f>'Prognoza Apa'!H15</f>
        <v>824816.84146419703</v>
      </c>
      <c r="K6" s="3">
        <f>'Prognoza Apa'!I15</f>
        <v>871750.29401721561</v>
      </c>
      <c r="L6" s="112">
        <f>'Prognoza Apa'!J15</f>
        <v>904302.92785036366</v>
      </c>
      <c r="M6" s="113">
        <f>'Prognoza Apa'!K15</f>
        <v>904505.89645180793</v>
      </c>
      <c r="N6" s="112">
        <f>'Prognoza Apa'!L15</f>
        <v>904678.01237175369</v>
      </c>
      <c r="O6" s="112">
        <f>'Prognoza Apa'!M15</f>
        <v>904819.68370740826</v>
      </c>
      <c r="P6" s="112">
        <f>'Prognoza Apa'!N15</f>
        <v>904931.31444674532</v>
      </c>
      <c r="Q6" s="112">
        <f>'Prognoza Apa'!O15</f>
        <v>905013.30450542539</v>
      </c>
      <c r="R6" s="112">
        <f>'Prognoza Apa'!P15</f>
        <v>905066.04976340279</v>
      </c>
      <c r="S6" s="112">
        <f>'Prognoza Apa'!Q15</f>
        <v>905770.54097572097</v>
      </c>
      <c r="T6" s="113">
        <f>'Prognoza Apa'!R15</f>
        <v>904104.36924913083</v>
      </c>
      <c r="U6" s="112">
        <f>'Prognoza Apa'!S15</f>
        <v>902437.31310662418</v>
      </c>
      <c r="V6" s="112">
        <f>'Prognoza Apa'!T15</f>
        <v>900769.43604255107</v>
      </c>
      <c r="W6" s="112">
        <f>'Prognoza Apa'!U15</f>
        <v>899100.80086023815</v>
      </c>
      <c r="X6" s="112">
        <f>'Prognoza Apa'!V15</f>
        <v>897431.46967777971</v>
      </c>
      <c r="Y6" s="112">
        <f>'Prognoza Apa'!W15</f>
        <v>895761.50393378665</v>
      </c>
      <c r="Z6" s="112">
        <f>'Prognoza Apa'!X15</f>
        <v>894090.96439309127</v>
      </c>
      <c r="AA6" s="112">
        <f>'Prognoza Apa'!Y15</f>
        <v>892419.91115240916</v>
      </c>
      <c r="AB6" s="112">
        <f>'Prognoza Apa'!Z15</f>
        <v>890748.40364595933</v>
      </c>
      <c r="AC6" s="112">
        <f>'Prognoza Apa'!AA15</f>
        <v>890572.33659064223</v>
      </c>
      <c r="AD6" s="112">
        <f>'Prognoza Apa'!AB15</f>
        <v>890391.30591045588</v>
      </c>
      <c r="AE6" s="112">
        <f>'Prognoza Apa'!AC15</f>
        <v>890205.3449810592</v>
      </c>
      <c r="AF6" s="112">
        <f>'Prognoza Apa'!AD15</f>
        <v>890014.48701595108</v>
      </c>
      <c r="AG6" s="112">
        <f>'Prognoza Apa'!AE15</f>
        <v>889818.76506716548</v>
      </c>
      <c r="AH6" s="112">
        <f>'Prognoza Apa'!AF15</f>
        <v>889618.2120259623</v>
      </c>
      <c r="AI6" s="112">
        <f>'Prognoza Apa'!AG15</f>
        <v>889412.86062351544</v>
      </c>
      <c r="AJ6" s="114">
        <f>'Prognoza Apa'!AH15</f>
        <v>887505.26690592838</v>
      </c>
    </row>
    <row r="7" spans="1:36" ht="15.75" thickBot="1" x14ac:dyDescent="0.3">
      <c r="A7" s="210"/>
      <c r="B7" s="106" t="s">
        <v>69</v>
      </c>
      <c r="C7" s="213"/>
      <c r="D7" s="101" t="s">
        <v>51</v>
      </c>
      <c r="E7" s="26" t="s">
        <v>17</v>
      </c>
      <c r="F7" s="180">
        <f>'[3]Water Balance m3year'!$AC$9</f>
        <v>0</v>
      </c>
      <c r="G7" s="97">
        <v>0</v>
      </c>
      <c r="H7" s="97">
        <f t="shared" ref="H7:AJ7" si="3">G7</f>
        <v>0</v>
      </c>
      <c r="I7" s="97">
        <f t="shared" si="3"/>
        <v>0</v>
      </c>
      <c r="J7" s="97">
        <f t="shared" si="3"/>
        <v>0</v>
      </c>
      <c r="K7" s="97">
        <f t="shared" si="3"/>
        <v>0</v>
      </c>
      <c r="L7" s="115">
        <f t="shared" si="3"/>
        <v>0</v>
      </c>
      <c r="M7" s="116">
        <f t="shared" si="3"/>
        <v>0</v>
      </c>
      <c r="N7" s="116">
        <f t="shared" si="3"/>
        <v>0</v>
      </c>
      <c r="O7" s="116">
        <f t="shared" si="3"/>
        <v>0</v>
      </c>
      <c r="P7" s="116">
        <f t="shared" si="3"/>
        <v>0</v>
      </c>
      <c r="Q7" s="116">
        <f t="shared" si="3"/>
        <v>0</v>
      </c>
      <c r="R7" s="116">
        <f t="shared" si="3"/>
        <v>0</v>
      </c>
      <c r="S7" s="116">
        <f t="shared" si="3"/>
        <v>0</v>
      </c>
      <c r="T7" s="116">
        <f t="shared" si="3"/>
        <v>0</v>
      </c>
      <c r="U7" s="116">
        <f t="shared" si="3"/>
        <v>0</v>
      </c>
      <c r="V7" s="116">
        <f t="shared" si="3"/>
        <v>0</v>
      </c>
      <c r="W7" s="116">
        <f t="shared" si="3"/>
        <v>0</v>
      </c>
      <c r="X7" s="116">
        <f t="shared" si="3"/>
        <v>0</v>
      </c>
      <c r="Y7" s="116">
        <f t="shared" si="3"/>
        <v>0</v>
      </c>
      <c r="Z7" s="116">
        <f t="shared" si="3"/>
        <v>0</v>
      </c>
      <c r="AA7" s="116">
        <f t="shared" si="3"/>
        <v>0</v>
      </c>
      <c r="AB7" s="116">
        <f t="shared" si="3"/>
        <v>0</v>
      </c>
      <c r="AC7" s="116">
        <f t="shared" si="3"/>
        <v>0</v>
      </c>
      <c r="AD7" s="116">
        <f t="shared" si="3"/>
        <v>0</v>
      </c>
      <c r="AE7" s="116">
        <f t="shared" si="3"/>
        <v>0</v>
      </c>
      <c r="AF7" s="116">
        <f t="shared" si="3"/>
        <v>0</v>
      </c>
      <c r="AG7" s="116">
        <f t="shared" si="3"/>
        <v>0</v>
      </c>
      <c r="AH7" s="116">
        <f t="shared" si="3"/>
        <v>0</v>
      </c>
      <c r="AI7" s="116">
        <f t="shared" si="3"/>
        <v>0</v>
      </c>
      <c r="AJ7" s="117">
        <f t="shared" si="3"/>
        <v>0</v>
      </c>
    </row>
    <row r="8" spans="1:36" x14ac:dyDescent="0.25">
      <c r="A8" s="210"/>
      <c r="B8" s="107" t="s">
        <v>1</v>
      </c>
      <c r="C8" s="213"/>
      <c r="D8" s="187" t="s">
        <v>58</v>
      </c>
      <c r="E8" s="188" t="s">
        <v>17</v>
      </c>
      <c r="F8" s="189">
        <f>'[3]Water Balance m3year'!$AY$24</f>
        <v>807869</v>
      </c>
      <c r="G8" s="190">
        <f>G12+G15+G9</f>
        <v>779817.25496670348</v>
      </c>
      <c r="H8" s="190">
        <f t="shared" ref="H8:AJ8" si="4">H12+H15+H9</f>
        <v>772988.08064664877</v>
      </c>
      <c r="I8" s="190">
        <f t="shared" si="4"/>
        <v>766303.2756161805</v>
      </c>
      <c r="J8" s="190">
        <f t="shared" si="4"/>
        <v>759736.51444024697</v>
      </c>
      <c r="K8" s="190">
        <f t="shared" si="4"/>
        <v>753265.30482579675</v>
      </c>
      <c r="L8" s="191">
        <f t="shared" si="4"/>
        <v>782821.15493195434</v>
      </c>
      <c r="M8" s="191">
        <f t="shared" si="4"/>
        <v>776125.10638834268</v>
      </c>
      <c r="N8" s="191">
        <f t="shared" si="4"/>
        <v>769492.48898378131</v>
      </c>
      <c r="O8" s="191">
        <f t="shared" si="4"/>
        <v>762922.68059917272</v>
      </c>
      <c r="P8" s="191">
        <f t="shared" si="4"/>
        <v>756415.06533314963</v>
      </c>
      <c r="Q8" s="191">
        <f t="shared" si="4"/>
        <v>749969.03343938722</v>
      </c>
      <c r="R8" s="191">
        <f t="shared" si="4"/>
        <v>743583.98126454826</v>
      </c>
      <c r="S8" s="191">
        <f t="shared" si="4"/>
        <v>737342.64982455003</v>
      </c>
      <c r="T8" s="191">
        <f t="shared" si="4"/>
        <v>730874.30908342684</v>
      </c>
      <c r="U8" s="191">
        <f t="shared" si="4"/>
        <v>724468.50324361131</v>
      </c>
      <c r="V8" s="191">
        <f t="shared" si="4"/>
        <v>718124.61364794977</v>
      </c>
      <c r="W8" s="191">
        <f t="shared" si="4"/>
        <v>711842.02781899425</v>
      </c>
      <c r="X8" s="191">
        <f t="shared" si="4"/>
        <v>705620.13939706679</v>
      </c>
      <c r="Y8" s="191">
        <f t="shared" si="4"/>
        <v>699458.34807894728</v>
      </c>
      <c r="Z8" s="191">
        <f t="shared" si="4"/>
        <v>693356.05955717526</v>
      </c>
      <c r="AA8" s="191">
        <f t="shared" si="4"/>
        <v>687312.68545996048</v>
      </c>
      <c r="AB8" s="191">
        <f t="shared" si="4"/>
        <v>681327.64329169644</v>
      </c>
      <c r="AC8" s="191">
        <f t="shared" si="4"/>
        <v>675583.51995851111</v>
      </c>
      <c r="AD8" s="191">
        <f t="shared" si="4"/>
        <v>669896.01447554491</v>
      </c>
      <c r="AE8" s="191">
        <f t="shared" si="4"/>
        <v>664264.55867320264</v>
      </c>
      <c r="AF8" s="191">
        <f t="shared" si="4"/>
        <v>658688.59008459747</v>
      </c>
      <c r="AG8" s="191">
        <f t="shared" si="4"/>
        <v>653167.55188840942</v>
      </c>
      <c r="AH8" s="191">
        <f t="shared" si="4"/>
        <v>647700.89285231743</v>
      </c>
      <c r="AI8" s="191">
        <f t="shared" si="4"/>
        <v>642288.06727699586</v>
      </c>
      <c r="AJ8" s="192">
        <f t="shared" si="4"/>
        <v>636720.68067222356</v>
      </c>
    </row>
    <row r="9" spans="1:36" x14ac:dyDescent="0.25">
      <c r="A9" s="210"/>
      <c r="B9" s="106" t="s">
        <v>70</v>
      </c>
      <c r="C9" s="213"/>
      <c r="D9" s="103" t="s">
        <v>48</v>
      </c>
      <c r="E9" s="93" t="s">
        <v>18</v>
      </c>
      <c r="F9" s="182">
        <f>'[3]Water Balance m3year'!$T$16</f>
        <v>139006</v>
      </c>
      <c r="G9" s="91">
        <f>G10+G11</f>
        <v>137615.94</v>
      </c>
      <c r="H9" s="91">
        <f t="shared" ref="H9:AJ9" si="5">H10+H11</f>
        <v>136239.7806</v>
      </c>
      <c r="I9" s="91">
        <f t="shared" si="5"/>
        <v>134877.382794</v>
      </c>
      <c r="J9" s="91">
        <f t="shared" si="5"/>
        <v>133528.60896606001</v>
      </c>
      <c r="K9" s="91">
        <f t="shared" si="5"/>
        <v>132193.32287639941</v>
      </c>
      <c r="L9" s="109">
        <f t="shared" si="5"/>
        <v>153374.91661657437</v>
      </c>
      <c r="M9" s="110">
        <f t="shared" si="5"/>
        <v>152784.63662183189</v>
      </c>
      <c r="N9" s="110">
        <f t="shared" si="5"/>
        <v>152197.31830504866</v>
      </c>
      <c r="O9" s="110">
        <f t="shared" si="5"/>
        <v>151612.94220968918</v>
      </c>
      <c r="P9" s="110">
        <f t="shared" si="5"/>
        <v>151031.48907089955</v>
      </c>
      <c r="Q9" s="110">
        <f t="shared" si="5"/>
        <v>150452.93981316479</v>
      </c>
      <c r="R9" s="110">
        <f t="shared" si="5"/>
        <v>149877.27554799555</v>
      </c>
      <c r="S9" s="110">
        <f t="shared" si="5"/>
        <v>149373.92643638825</v>
      </c>
      <c r="T9" s="110">
        <f t="shared" si="5"/>
        <v>148634.4253029598</v>
      </c>
      <c r="U9" s="110">
        <f t="shared" si="5"/>
        <v>147900.52875911232</v>
      </c>
      <c r="V9" s="110">
        <f t="shared" si="5"/>
        <v>147172.18633550007</v>
      </c>
      <c r="W9" s="110">
        <f t="shared" si="5"/>
        <v>146449.3480617484</v>
      </c>
      <c r="X9" s="110">
        <f t="shared" si="5"/>
        <v>145731.96446134971</v>
      </c>
      <c r="Y9" s="110">
        <f t="shared" si="5"/>
        <v>145019.98654661217</v>
      </c>
      <c r="Z9" s="110">
        <f t="shared" si="5"/>
        <v>144313.36581366061</v>
      </c>
      <c r="AA9" s="110">
        <f t="shared" si="5"/>
        <v>143612.05423748813</v>
      </c>
      <c r="AB9" s="110">
        <f t="shared" si="5"/>
        <v>142916.00426705962</v>
      </c>
      <c r="AC9" s="110">
        <f t="shared" si="5"/>
        <v>142377.80514083212</v>
      </c>
      <c r="AD9" s="110">
        <f t="shared" si="5"/>
        <v>141844.3018532728</v>
      </c>
      <c r="AE9" s="110">
        <f t="shared" si="5"/>
        <v>141315.44578675108</v>
      </c>
      <c r="AF9" s="110">
        <f t="shared" si="5"/>
        <v>140791.18882732259</v>
      </c>
      <c r="AG9" s="110">
        <f t="shared" si="5"/>
        <v>140271.48335959771</v>
      </c>
      <c r="AH9" s="110">
        <f t="shared" si="5"/>
        <v>139756.28226166181</v>
      </c>
      <c r="AI9" s="110">
        <f t="shared" si="5"/>
        <v>139245.53890004649</v>
      </c>
      <c r="AJ9" s="186">
        <f t="shared" si="5"/>
        <v>138565.99523437745</v>
      </c>
    </row>
    <row r="10" spans="1:36" x14ac:dyDescent="0.25">
      <c r="A10" s="210"/>
      <c r="B10" s="106" t="s">
        <v>71</v>
      </c>
      <c r="C10" s="213"/>
      <c r="D10" s="101" t="s">
        <v>49</v>
      </c>
      <c r="E10" s="26" t="s">
        <v>18</v>
      </c>
      <c r="F10" s="180">
        <f>'[3]Water Balance m3year'!$AC$14</f>
        <v>0</v>
      </c>
      <c r="G10" s="69">
        <f>F10</f>
        <v>0</v>
      </c>
      <c r="H10" s="69">
        <f t="shared" ref="H10:AJ10" si="6">G10</f>
        <v>0</v>
      </c>
      <c r="I10" s="69">
        <f t="shared" si="6"/>
        <v>0</v>
      </c>
      <c r="J10" s="69">
        <f t="shared" si="6"/>
        <v>0</v>
      </c>
      <c r="K10" s="69">
        <f t="shared" si="6"/>
        <v>0</v>
      </c>
      <c r="L10" s="118">
        <f t="shared" si="6"/>
        <v>0</v>
      </c>
      <c r="M10" s="119">
        <f t="shared" si="6"/>
        <v>0</v>
      </c>
      <c r="N10" s="119">
        <f t="shared" si="6"/>
        <v>0</v>
      </c>
      <c r="O10" s="119">
        <f t="shared" si="6"/>
        <v>0</v>
      </c>
      <c r="P10" s="119">
        <f t="shared" si="6"/>
        <v>0</v>
      </c>
      <c r="Q10" s="119">
        <f t="shared" si="6"/>
        <v>0</v>
      </c>
      <c r="R10" s="119">
        <f t="shared" si="6"/>
        <v>0</v>
      </c>
      <c r="S10" s="119">
        <f t="shared" si="6"/>
        <v>0</v>
      </c>
      <c r="T10" s="119">
        <f t="shared" si="6"/>
        <v>0</v>
      </c>
      <c r="U10" s="119">
        <f t="shared" si="6"/>
        <v>0</v>
      </c>
      <c r="V10" s="119">
        <f t="shared" si="6"/>
        <v>0</v>
      </c>
      <c r="W10" s="119">
        <f t="shared" si="6"/>
        <v>0</v>
      </c>
      <c r="X10" s="119">
        <f t="shared" si="6"/>
        <v>0</v>
      </c>
      <c r="Y10" s="119">
        <f t="shared" si="6"/>
        <v>0</v>
      </c>
      <c r="Z10" s="119">
        <f t="shared" si="6"/>
        <v>0</v>
      </c>
      <c r="AA10" s="119">
        <f t="shared" si="6"/>
        <v>0</v>
      </c>
      <c r="AB10" s="119">
        <f t="shared" si="6"/>
        <v>0</v>
      </c>
      <c r="AC10" s="119">
        <f t="shared" si="6"/>
        <v>0</v>
      </c>
      <c r="AD10" s="119">
        <f t="shared" si="6"/>
        <v>0</v>
      </c>
      <c r="AE10" s="119">
        <f t="shared" si="6"/>
        <v>0</v>
      </c>
      <c r="AF10" s="119">
        <f t="shared" si="6"/>
        <v>0</v>
      </c>
      <c r="AG10" s="119">
        <f t="shared" si="6"/>
        <v>0</v>
      </c>
      <c r="AH10" s="119">
        <f t="shared" si="6"/>
        <v>0</v>
      </c>
      <c r="AI10" s="119">
        <f t="shared" si="6"/>
        <v>0</v>
      </c>
      <c r="AJ10" s="120">
        <f t="shared" si="6"/>
        <v>0</v>
      </c>
    </row>
    <row r="11" spans="1:36" ht="15.75" thickBot="1" x14ac:dyDescent="0.3">
      <c r="A11" s="210"/>
      <c r="B11" s="108" t="s">
        <v>72</v>
      </c>
      <c r="C11" s="214"/>
      <c r="D11" s="102" t="s">
        <v>50</v>
      </c>
      <c r="E11" s="25" t="s">
        <v>18</v>
      </c>
      <c r="F11" s="181">
        <f>'[3]Water Balance m3year'!$AC$19</f>
        <v>139006</v>
      </c>
      <c r="G11" s="92">
        <f>F11/F15*G15</f>
        <v>137615.94</v>
      </c>
      <c r="H11" s="92">
        <f t="shared" ref="H11:K11" si="7">G11/G15*H15</f>
        <v>136239.7806</v>
      </c>
      <c r="I11" s="92">
        <f t="shared" si="7"/>
        <v>134877.382794</v>
      </c>
      <c r="J11" s="92">
        <f t="shared" si="7"/>
        <v>133528.60896606001</v>
      </c>
      <c r="K11" s="92">
        <f t="shared" si="7"/>
        <v>132193.32287639941</v>
      </c>
      <c r="L11" s="121">
        <f>0.1*(L5+L15+L12)</f>
        <v>153374.91661657437</v>
      </c>
      <c r="M11" s="122">
        <f t="shared" ref="M11:AJ11" si="8">0.1*(M5+M15+M12)</f>
        <v>152784.63662183189</v>
      </c>
      <c r="N11" s="122">
        <f t="shared" si="8"/>
        <v>152197.31830504866</v>
      </c>
      <c r="O11" s="122">
        <f t="shared" si="8"/>
        <v>151612.94220968918</v>
      </c>
      <c r="P11" s="122">
        <f t="shared" si="8"/>
        <v>151031.48907089955</v>
      </c>
      <c r="Q11" s="122">
        <f t="shared" si="8"/>
        <v>150452.93981316479</v>
      </c>
      <c r="R11" s="122">
        <f t="shared" si="8"/>
        <v>149877.27554799555</v>
      </c>
      <c r="S11" s="122">
        <f t="shared" si="8"/>
        <v>149373.92643638825</v>
      </c>
      <c r="T11" s="122">
        <f t="shared" si="8"/>
        <v>148634.4253029598</v>
      </c>
      <c r="U11" s="122">
        <f t="shared" si="8"/>
        <v>147900.52875911232</v>
      </c>
      <c r="V11" s="122">
        <f t="shared" si="8"/>
        <v>147172.18633550007</v>
      </c>
      <c r="W11" s="122">
        <f t="shared" si="8"/>
        <v>146449.3480617484</v>
      </c>
      <c r="X11" s="122">
        <f t="shared" si="8"/>
        <v>145731.96446134971</v>
      </c>
      <c r="Y11" s="122">
        <f t="shared" si="8"/>
        <v>145019.98654661217</v>
      </c>
      <c r="Z11" s="122">
        <f t="shared" si="8"/>
        <v>144313.36581366061</v>
      </c>
      <c r="AA11" s="122">
        <f t="shared" si="8"/>
        <v>143612.05423748813</v>
      </c>
      <c r="AB11" s="122">
        <f t="shared" si="8"/>
        <v>142916.00426705962</v>
      </c>
      <c r="AC11" s="122">
        <f t="shared" si="8"/>
        <v>142377.80514083212</v>
      </c>
      <c r="AD11" s="122">
        <f t="shared" si="8"/>
        <v>141844.3018532728</v>
      </c>
      <c r="AE11" s="122">
        <f t="shared" si="8"/>
        <v>141315.44578675108</v>
      </c>
      <c r="AF11" s="122">
        <f t="shared" si="8"/>
        <v>140791.18882732259</v>
      </c>
      <c r="AG11" s="122">
        <f t="shared" si="8"/>
        <v>140271.48335959771</v>
      </c>
      <c r="AH11" s="122">
        <f t="shared" si="8"/>
        <v>139756.28226166181</v>
      </c>
      <c r="AI11" s="122">
        <f t="shared" si="8"/>
        <v>139245.53890004649</v>
      </c>
      <c r="AJ11" s="123">
        <f t="shared" si="8"/>
        <v>138565.99523437745</v>
      </c>
    </row>
    <row r="12" spans="1:36" x14ac:dyDescent="0.25">
      <c r="A12" s="210"/>
      <c r="B12" s="106" t="s">
        <v>73</v>
      </c>
      <c r="C12" s="212" t="s">
        <v>65</v>
      </c>
      <c r="D12" s="103" t="s">
        <v>52</v>
      </c>
      <c r="E12" s="93" t="s">
        <v>18</v>
      </c>
      <c r="F12" s="182">
        <f>'[3]Water Balance m3year'!$T$26</f>
        <v>34491.315789473709</v>
      </c>
      <c r="G12" s="96">
        <f>G13+G14</f>
        <v>14173.347598282417</v>
      </c>
      <c r="H12" s="96">
        <f t="shared" ref="H12:AJ12" si="9">H13+H14</f>
        <v>15000.61235191209</v>
      </c>
      <c r="I12" s="96">
        <f t="shared" si="9"/>
        <v>15895.682004391134</v>
      </c>
      <c r="J12" s="96">
        <f t="shared" si="9"/>
        <v>16832.996764575451</v>
      </c>
      <c r="K12" s="96">
        <f t="shared" si="9"/>
        <v>17790.822326881953</v>
      </c>
      <c r="L12" s="124">
        <f t="shared" si="9"/>
        <v>18455.161792864565</v>
      </c>
      <c r="M12" s="124">
        <f t="shared" si="9"/>
        <v>18459.30400922057</v>
      </c>
      <c r="N12" s="124">
        <f t="shared" si="9"/>
        <v>18462.81657901538</v>
      </c>
      <c r="O12" s="124">
        <f t="shared" si="9"/>
        <v>18465.707830763433</v>
      </c>
      <c r="P12" s="124">
        <f t="shared" si="9"/>
        <v>18467.986009117252</v>
      </c>
      <c r="Q12" s="124">
        <f t="shared" si="9"/>
        <v>18469.659275620928</v>
      </c>
      <c r="R12" s="124">
        <f t="shared" si="9"/>
        <v>18470.7357094572</v>
      </c>
      <c r="S12" s="124">
        <f t="shared" si="9"/>
        <v>18485.113081137162</v>
      </c>
      <c r="T12" s="124">
        <f t="shared" si="9"/>
        <v>18451.109576512878</v>
      </c>
      <c r="U12" s="124">
        <f t="shared" si="9"/>
        <v>18417.088022584168</v>
      </c>
      <c r="V12" s="124">
        <f t="shared" si="9"/>
        <v>18383.049715154102</v>
      </c>
      <c r="W12" s="124">
        <f t="shared" si="9"/>
        <v>18348.995935923227</v>
      </c>
      <c r="X12" s="124">
        <f t="shared" si="9"/>
        <v>18314.927952607748</v>
      </c>
      <c r="Y12" s="124">
        <f t="shared" si="9"/>
        <v>18280.847019056873</v>
      </c>
      <c r="Z12" s="124">
        <f t="shared" si="9"/>
        <v>18246.754375369208</v>
      </c>
      <c r="AA12" s="124">
        <f t="shared" si="9"/>
        <v>18212.651248008351</v>
      </c>
      <c r="AB12" s="124">
        <f t="shared" si="9"/>
        <v>18178.538849917539</v>
      </c>
      <c r="AC12" s="124">
        <f t="shared" si="9"/>
        <v>18174.945644706982</v>
      </c>
      <c r="AD12" s="124">
        <f t="shared" si="9"/>
        <v>18171.251141029712</v>
      </c>
      <c r="AE12" s="124">
        <f t="shared" si="9"/>
        <v>18167.456020021615</v>
      </c>
      <c r="AF12" s="124">
        <f t="shared" si="9"/>
        <v>18163.560959509206</v>
      </c>
      <c r="AG12" s="124">
        <f t="shared" si="9"/>
        <v>18159.566634023788</v>
      </c>
      <c r="AH12" s="124">
        <f t="shared" si="9"/>
        <v>18155.473714815558</v>
      </c>
      <c r="AI12" s="124">
        <f t="shared" si="9"/>
        <v>18151.28286986766</v>
      </c>
      <c r="AJ12" s="125">
        <f t="shared" si="9"/>
        <v>18112.352385835275</v>
      </c>
    </row>
    <row r="13" spans="1:36" x14ac:dyDescent="0.25">
      <c r="A13" s="210"/>
      <c r="B13" s="106" t="s">
        <v>74</v>
      </c>
      <c r="C13" s="213"/>
      <c r="D13" s="101" t="s">
        <v>53</v>
      </c>
      <c r="E13" s="26" t="s">
        <v>18</v>
      </c>
      <c r="F13" s="180">
        <f>'[3]Water Balance m3year'!$AC$24</f>
        <v>0</v>
      </c>
      <c r="G13" s="2">
        <f>F13</f>
        <v>0</v>
      </c>
      <c r="H13" s="2">
        <f t="shared" ref="H13:AJ13" si="10">G13</f>
        <v>0</v>
      </c>
      <c r="I13" s="2">
        <f t="shared" si="10"/>
        <v>0</v>
      </c>
      <c r="J13" s="2">
        <f t="shared" si="10"/>
        <v>0</v>
      </c>
      <c r="K13" s="2">
        <f t="shared" si="10"/>
        <v>0</v>
      </c>
      <c r="L13" s="51">
        <f t="shared" si="10"/>
        <v>0</v>
      </c>
      <c r="M13" s="51">
        <f t="shared" si="10"/>
        <v>0</v>
      </c>
      <c r="N13" s="51">
        <f t="shared" si="10"/>
        <v>0</v>
      </c>
      <c r="O13" s="51">
        <f t="shared" si="10"/>
        <v>0</v>
      </c>
      <c r="P13" s="51">
        <f t="shared" si="10"/>
        <v>0</v>
      </c>
      <c r="Q13" s="51">
        <f t="shared" si="10"/>
        <v>0</v>
      </c>
      <c r="R13" s="51">
        <f t="shared" si="10"/>
        <v>0</v>
      </c>
      <c r="S13" s="51">
        <f t="shared" si="10"/>
        <v>0</v>
      </c>
      <c r="T13" s="51">
        <f t="shared" si="10"/>
        <v>0</v>
      </c>
      <c r="U13" s="51">
        <f t="shared" si="10"/>
        <v>0</v>
      </c>
      <c r="V13" s="51">
        <f t="shared" si="10"/>
        <v>0</v>
      </c>
      <c r="W13" s="51">
        <f t="shared" si="10"/>
        <v>0</v>
      </c>
      <c r="X13" s="51">
        <f t="shared" si="10"/>
        <v>0</v>
      </c>
      <c r="Y13" s="51">
        <f t="shared" si="10"/>
        <v>0</v>
      </c>
      <c r="Z13" s="51">
        <f t="shared" si="10"/>
        <v>0</v>
      </c>
      <c r="AA13" s="51">
        <f t="shared" si="10"/>
        <v>0</v>
      </c>
      <c r="AB13" s="51">
        <f t="shared" si="10"/>
        <v>0</v>
      </c>
      <c r="AC13" s="51">
        <f t="shared" si="10"/>
        <v>0</v>
      </c>
      <c r="AD13" s="51">
        <f t="shared" si="10"/>
        <v>0</v>
      </c>
      <c r="AE13" s="51">
        <f t="shared" si="10"/>
        <v>0</v>
      </c>
      <c r="AF13" s="51">
        <f t="shared" si="10"/>
        <v>0</v>
      </c>
      <c r="AG13" s="51">
        <f t="shared" si="10"/>
        <v>0</v>
      </c>
      <c r="AH13" s="51">
        <f t="shared" si="10"/>
        <v>0</v>
      </c>
      <c r="AI13" s="51">
        <f t="shared" si="10"/>
        <v>0</v>
      </c>
      <c r="AJ13" s="126">
        <f t="shared" si="10"/>
        <v>0</v>
      </c>
    </row>
    <row r="14" spans="1:36" x14ac:dyDescent="0.25">
      <c r="A14" s="210"/>
      <c r="B14" s="106" t="s">
        <v>75</v>
      </c>
      <c r="C14" s="213"/>
      <c r="D14" s="101" t="s">
        <v>54</v>
      </c>
      <c r="E14" s="26" t="s">
        <v>18</v>
      </c>
      <c r="F14" s="180">
        <f>'[3]Water Balance m3year'!$AC$29</f>
        <v>34491.315789473709</v>
      </c>
      <c r="G14" s="96">
        <f t="shared" ref="G14:AJ14" si="11">G6/(1-G17)*G17</f>
        <v>14173.347598282417</v>
      </c>
      <c r="H14" s="51">
        <f t="shared" si="11"/>
        <v>15000.61235191209</v>
      </c>
      <c r="I14" s="51">
        <f t="shared" si="11"/>
        <v>15895.682004391134</v>
      </c>
      <c r="J14" s="51">
        <f t="shared" si="11"/>
        <v>16832.996764575451</v>
      </c>
      <c r="K14" s="51">
        <f t="shared" si="11"/>
        <v>17790.822326881953</v>
      </c>
      <c r="L14" s="127">
        <f t="shared" si="11"/>
        <v>18455.161792864565</v>
      </c>
      <c r="M14" s="89">
        <f t="shared" si="11"/>
        <v>18459.30400922057</v>
      </c>
      <c r="N14" s="51">
        <f t="shared" si="11"/>
        <v>18462.81657901538</v>
      </c>
      <c r="O14" s="51">
        <f t="shared" si="11"/>
        <v>18465.707830763433</v>
      </c>
      <c r="P14" s="51">
        <f t="shared" si="11"/>
        <v>18467.986009117252</v>
      </c>
      <c r="Q14" s="51">
        <f t="shared" si="11"/>
        <v>18469.659275620928</v>
      </c>
      <c r="R14" s="51">
        <f t="shared" si="11"/>
        <v>18470.7357094572</v>
      </c>
      <c r="S14" s="51">
        <f t="shared" si="11"/>
        <v>18485.113081137162</v>
      </c>
      <c r="T14" s="51">
        <f t="shared" si="11"/>
        <v>18451.109576512878</v>
      </c>
      <c r="U14" s="51">
        <f t="shared" si="11"/>
        <v>18417.088022584168</v>
      </c>
      <c r="V14" s="51">
        <f t="shared" si="11"/>
        <v>18383.049715154102</v>
      </c>
      <c r="W14" s="51">
        <f t="shared" si="11"/>
        <v>18348.995935923227</v>
      </c>
      <c r="X14" s="51">
        <f t="shared" si="11"/>
        <v>18314.927952607748</v>
      </c>
      <c r="Y14" s="51">
        <f t="shared" si="11"/>
        <v>18280.847019056873</v>
      </c>
      <c r="Z14" s="51">
        <f t="shared" si="11"/>
        <v>18246.754375369208</v>
      </c>
      <c r="AA14" s="51">
        <f t="shared" si="11"/>
        <v>18212.651248008351</v>
      </c>
      <c r="AB14" s="51">
        <f t="shared" si="11"/>
        <v>18178.538849917539</v>
      </c>
      <c r="AC14" s="51">
        <f t="shared" si="11"/>
        <v>18174.945644706982</v>
      </c>
      <c r="AD14" s="51">
        <f t="shared" si="11"/>
        <v>18171.251141029712</v>
      </c>
      <c r="AE14" s="51">
        <f t="shared" si="11"/>
        <v>18167.456020021615</v>
      </c>
      <c r="AF14" s="51">
        <f t="shared" si="11"/>
        <v>18163.560959509206</v>
      </c>
      <c r="AG14" s="51">
        <f t="shared" si="11"/>
        <v>18159.566634023788</v>
      </c>
      <c r="AH14" s="51">
        <f t="shared" si="11"/>
        <v>18155.473714815558</v>
      </c>
      <c r="AI14" s="51">
        <f t="shared" si="11"/>
        <v>18151.28286986766</v>
      </c>
      <c r="AJ14" s="126">
        <f t="shared" si="11"/>
        <v>18112.352385835275</v>
      </c>
    </row>
    <row r="15" spans="1:36" ht="15.75" thickBot="1" x14ac:dyDescent="0.3">
      <c r="A15" s="211"/>
      <c r="B15" s="108" t="s">
        <v>0</v>
      </c>
      <c r="C15" s="214"/>
      <c r="D15" s="104" t="s">
        <v>55</v>
      </c>
      <c r="E15" s="25" t="s">
        <v>18</v>
      </c>
      <c r="F15" s="183">
        <f>'[3]Water Balance m3year'!$T$34</f>
        <v>634371.68421052629</v>
      </c>
      <c r="G15" s="47">
        <f>F15*0.99</f>
        <v>628027.96736842103</v>
      </c>
      <c r="H15" s="47">
        <f t="shared" ref="H15:K15" si="12">G15*0.99</f>
        <v>621747.68769473676</v>
      </c>
      <c r="I15" s="47">
        <f t="shared" si="12"/>
        <v>615530.21081778943</v>
      </c>
      <c r="J15" s="47">
        <f t="shared" si="12"/>
        <v>609374.90870961151</v>
      </c>
      <c r="K15" s="47">
        <f t="shared" si="12"/>
        <v>603281.15962251544</v>
      </c>
      <c r="L15" s="128">
        <f>K15+(IP!L10-IP!F10)*365</f>
        <v>610991.07652251539</v>
      </c>
      <c r="M15" s="90">
        <f t="shared" ref="M15:AJ15" si="13">L15*0.99</f>
        <v>604881.1657572902</v>
      </c>
      <c r="N15" s="47">
        <f t="shared" si="13"/>
        <v>598832.35409971734</v>
      </c>
      <c r="O15" s="47">
        <f t="shared" si="13"/>
        <v>592844.03055872011</v>
      </c>
      <c r="P15" s="47">
        <f t="shared" si="13"/>
        <v>586915.59025313286</v>
      </c>
      <c r="Q15" s="47">
        <f t="shared" si="13"/>
        <v>581046.43435060151</v>
      </c>
      <c r="R15" s="47">
        <f t="shared" si="13"/>
        <v>575235.97000709549</v>
      </c>
      <c r="S15" s="47">
        <f t="shared" si="13"/>
        <v>569483.61030702456</v>
      </c>
      <c r="T15" s="47">
        <f t="shared" si="13"/>
        <v>563788.77420395426</v>
      </c>
      <c r="U15" s="47">
        <f t="shared" si="13"/>
        <v>558150.88646191475</v>
      </c>
      <c r="V15" s="47">
        <f t="shared" si="13"/>
        <v>552569.37759729556</v>
      </c>
      <c r="W15" s="47">
        <f t="shared" si="13"/>
        <v>547043.68382132263</v>
      </c>
      <c r="X15" s="47">
        <f t="shared" si="13"/>
        <v>541573.24698310939</v>
      </c>
      <c r="Y15" s="47">
        <f t="shared" si="13"/>
        <v>536157.51451327826</v>
      </c>
      <c r="Z15" s="47">
        <f t="shared" si="13"/>
        <v>530795.93936814542</v>
      </c>
      <c r="AA15" s="47">
        <f t="shared" si="13"/>
        <v>525487.97997446393</v>
      </c>
      <c r="AB15" s="47">
        <f t="shared" si="13"/>
        <v>520233.10017471929</v>
      </c>
      <c r="AC15" s="47">
        <f t="shared" si="13"/>
        <v>515030.76917297207</v>
      </c>
      <c r="AD15" s="47">
        <f t="shared" si="13"/>
        <v>509880.46148124232</v>
      </c>
      <c r="AE15" s="47">
        <f t="shared" si="13"/>
        <v>504781.6568664299</v>
      </c>
      <c r="AF15" s="47">
        <f t="shared" si="13"/>
        <v>499733.84029776562</v>
      </c>
      <c r="AG15" s="47">
        <f t="shared" si="13"/>
        <v>494736.50189478794</v>
      </c>
      <c r="AH15" s="47">
        <f t="shared" si="13"/>
        <v>489789.13687584008</v>
      </c>
      <c r="AI15" s="47">
        <f t="shared" si="13"/>
        <v>484891.24550708168</v>
      </c>
      <c r="AJ15" s="129">
        <f t="shared" si="13"/>
        <v>480042.33305201086</v>
      </c>
    </row>
    <row r="17" spans="4:36" x14ac:dyDescent="0.25">
      <c r="D17" s="88" t="s">
        <v>54</v>
      </c>
      <c r="E17" s="83" t="s">
        <v>2</v>
      </c>
      <c r="F17" s="99">
        <v>0.02</v>
      </c>
      <c r="G17" s="99">
        <f>F17</f>
        <v>0.02</v>
      </c>
      <c r="H17" s="99">
        <f t="shared" ref="H17:AJ17" si="14">G17</f>
        <v>0.02</v>
      </c>
      <c r="I17" s="99">
        <f t="shared" si="14"/>
        <v>0.02</v>
      </c>
      <c r="J17" s="99">
        <f t="shared" si="14"/>
        <v>0.02</v>
      </c>
      <c r="K17" s="99">
        <f t="shared" si="14"/>
        <v>0.02</v>
      </c>
      <c r="L17" s="99">
        <f t="shared" si="14"/>
        <v>0.02</v>
      </c>
      <c r="M17" s="99">
        <f t="shared" si="14"/>
        <v>0.02</v>
      </c>
      <c r="N17" s="99">
        <f t="shared" si="14"/>
        <v>0.02</v>
      </c>
      <c r="O17" s="99">
        <f t="shared" si="14"/>
        <v>0.02</v>
      </c>
      <c r="P17" s="99">
        <f t="shared" si="14"/>
        <v>0.02</v>
      </c>
      <c r="Q17" s="99">
        <f t="shared" si="14"/>
        <v>0.02</v>
      </c>
      <c r="R17" s="99">
        <f t="shared" si="14"/>
        <v>0.02</v>
      </c>
      <c r="S17" s="99">
        <f t="shared" si="14"/>
        <v>0.02</v>
      </c>
      <c r="T17" s="99">
        <f t="shared" si="14"/>
        <v>0.02</v>
      </c>
      <c r="U17" s="99">
        <f t="shared" si="14"/>
        <v>0.02</v>
      </c>
      <c r="V17" s="99">
        <f t="shared" si="14"/>
        <v>0.02</v>
      </c>
      <c r="W17" s="99">
        <f t="shared" si="14"/>
        <v>0.02</v>
      </c>
      <c r="X17" s="99">
        <f t="shared" si="14"/>
        <v>0.02</v>
      </c>
      <c r="Y17" s="99">
        <f t="shared" si="14"/>
        <v>0.02</v>
      </c>
      <c r="Z17" s="99">
        <f t="shared" si="14"/>
        <v>0.02</v>
      </c>
      <c r="AA17" s="99">
        <f t="shared" si="14"/>
        <v>0.02</v>
      </c>
      <c r="AB17" s="99">
        <f t="shared" si="14"/>
        <v>0.02</v>
      </c>
      <c r="AC17" s="99">
        <f t="shared" si="14"/>
        <v>0.02</v>
      </c>
      <c r="AD17" s="99">
        <f t="shared" si="14"/>
        <v>0.02</v>
      </c>
      <c r="AE17" s="99">
        <f t="shared" si="14"/>
        <v>0.02</v>
      </c>
      <c r="AF17" s="99">
        <f t="shared" si="14"/>
        <v>0.02</v>
      </c>
      <c r="AG17" s="99">
        <f t="shared" si="14"/>
        <v>0.02</v>
      </c>
      <c r="AH17" s="99">
        <f t="shared" si="14"/>
        <v>0.02</v>
      </c>
      <c r="AI17" s="99">
        <f t="shared" si="14"/>
        <v>0.02</v>
      </c>
      <c r="AJ17" s="99">
        <f t="shared" si="14"/>
        <v>0.02</v>
      </c>
    </row>
    <row r="23" spans="4:36" x14ac:dyDescent="0.25">
      <c r="F23" s="1"/>
    </row>
  </sheetData>
  <mergeCells count="5">
    <mergeCell ref="A2:A15"/>
    <mergeCell ref="C4:C11"/>
    <mergeCell ref="C12:C15"/>
    <mergeCell ref="B2:D2"/>
    <mergeCell ref="B1:AJ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A1:AJ21"/>
  <sheetViews>
    <sheetView zoomScale="80" zoomScaleNormal="80" workbookViewId="0">
      <selection activeCell="AJ23" sqref="AJ23"/>
    </sheetView>
  </sheetViews>
  <sheetFormatPr defaultRowHeight="15" outlineLevelCol="1" x14ac:dyDescent="0.25"/>
  <cols>
    <col min="1" max="1" width="15.28515625" customWidth="1"/>
    <col min="2" max="2" width="6.140625" customWidth="1"/>
    <col min="3" max="3" width="3.85546875" customWidth="1"/>
    <col min="4" max="4" width="31.140625" customWidth="1"/>
    <col min="5" max="5" width="8.85546875" style="134" customWidth="1"/>
    <col min="6" max="6" width="11.140625" customWidth="1"/>
    <col min="7" max="7" width="11.5703125" hidden="1" customWidth="1" outlineLevel="1"/>
    <col min="8" max="8" width="10.5703125" hidden="1" customWidth="1" outlineLevel="1"/>
    <col min="9" max="11" width="12.5703125" hidden="1" customWidth="1" outlineLevel="1"/>
    <col min="12" max="12" width="12.5703125" customWidth="1" collapsed="1"/>
    <col min="13" max="13" width="12.5703125" hidden="1" customWidth="1" outlineLevel="1"/>
    <col min="14" max="15" width="10.140625" hidden="1" customWidth="1" outlineLevel="1"/>
    <col min="16" max="16" width="12.5703125" hidden="1" customWidth="1" outlineLevel="1"/>
    <col min="17" max="23" width="10.140625" hidden="1" customWidth="1" outlineLevel="1"/>
    <col min="24" max="24" width="10.5703125" hidden="1" customWidth="1" outlineLevel="1"/>
    <col min="25" max="25" width="12.5703125" hidden="1" customWidth="1" outlineLevel="1"/>
    <col min="26" max="35" width="10.140625" hidden="1" customWidth="1" outlineLevel="1"/>
    <col min="36" max="36" width="10.140625" customWidth="1" collapsed="1"/>
  </cols>
  <sheetData>
    <row r="1" spans="1:36" ht="15.75" thickBot="1" x14ac:dyDescent="0.3">
      <c r="B1" s="217" t="s">
        <v>100</v>
      </c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7"/>
      <c r="W1" s="217"/>
      <c r="X1" s="217"/>
      <c r="Y1" s="217"/>
      <c r="Z1" s="217"/>
      <c r="AA1" s="217"/>
      <c r="AB1" s="217"/>
      <c r="AC1" s="217"/>
      <c r="AD1" s="217"/>
      <c r="AE1" s="217"/>
      <c r="AF1" s="217"/>
      <c r="AG1" s="217"/>
      <c r="AH1" s="217"/>
      <c r="AI1" s="217"/>
      <c r="AJ1" s="217"/>
    </row>
    <row r="2" spans="1:36" ht="15.75" thickBot="1" x14ac:dyDescent="0.3">
      <c r="A2" s="209">
        <f>'Prognoza Apa'!A7</f>
        <v>0</v>
      </c>
      <c r="B2" s="215" t="str">
        <f>'Prognoza Apa'!B7</f>
        <v>Tg Secuiesc</v>
      </c>
      <c r="C2" s="216"/>
      <c r="D2" s="216"/>
      <c r="E2" s="150" t="s">
        <v>64</v>
      </c>
      <c r="F2" s="151">
        <v>2018</v>
      </c>
      <c r="G2" s="151">
        <v>2019</v>
      </c>
      <c r="H2" s="151">
        <v>2020</v>
      </c>
      <c r="I2" s="151">
        <v>2021</v>
      </c>
      <c r="J2" s="151">
        <v>2022</v>
      </c>
      <c r="K2" s="151">
        <v>2023</v>
      </c>
      <c r="L2" s="151">
        <v>2024</v>
      </c>
      <c r="M2" s="151">
        <v>2025</v>
      </c>
      <c r="N2" s="151">
        <v>2026</v>
      </c>
      <c r="O2" s="151">
        <v>2027</v>
      </c>
      <c r="P2" s="151">
        <v>2028</v>
      </c>
      <c r="Q2" s="151">
        <v>2029</v>
      </c>
      <c r="R2" s="151">
        <v>2030</v>
      </c>
      <c r="S2" s="151">
        <v>2031</v>
      </c>
      <c r="T2" s="151">
        <v>2032</v>
      </c>
      <c r="U2" s="151">
        <v>2033</v>
      </c>
      <c r="V2" s="151">
        <v>2034</v>
      </c>
      <c r="W2" s="151">
        <v>2035</v>
      </c>
      <c r="X2" s="151">
        <v>2036</v>
      </c>
      <c r="Y2" s="151">
        <v>2037</v>
      </c>
      <c r="Z2" s="151">
        <v>2038</v>
      </c>
      <c r="AA2" s="151">
        <v>2039</v>
      </c>
      <c r="AB2" s="151">
        <v>2040</v>
      </c>
      <c r="AC2" s="151">
        <v>2041</v>
      </c>
      <c r="AD2" s="151">
        <v>2042</v>
      </c>
      <c r="AE2" s="151">
        <v>2043</v>
      </c>
      <c r="AF2" s="151">
        <v>2044</v>
      </c>
      <c r="AG2" s="151">
        <v>2045</v>
      </c>
      <c r="AH2" s="151">
        <v>2046</v>
      </c>
      <c r="AI2" s="151">
        <v>2047</v>
      </c>
      <c r="AJ2" s="152">
        <v>2048</v>
      </c>
    </row>
    <row r="3" spans="1:36" x14ac:dyDescent="0.25">
      <c r="A3" s="221"/>
      <c r="B3" s="153" t="s">
        <v>22</v>
      </c>
      <c r="C3" s="218" t="s">
        <v>82</v>
      </c>
      <c r="D3" s="154" t="s">
        <v>23</v>
      </c>
      <c r="E3" s="155" t="s">
        <v>76</v>
      </c>
      <c r="F3" s="156">
        <f>'Prognoza BA'!F3/365</f>
        <v>4008.7780821917809</v>
      </c>
      <c r="G3" s="156">
        <f>'Prognoza BA'!G3/365</f>
        <v>4039.2090062535394</v>
      </c>
      <c r="H3" s="156">
        <f>'Prognoza BA'!H3/365</f>
        <v>4131.5563996995643</v>
      </c>
      <c r="I3" s="156">
        <f>'Prognoza BA'!I3/365</f>
        <v>4233.4019009077974</v>
      </c>
      <c r="J3" s="156">
        <f>'Prognoza BA'!J3/365</f>
        <v>4341.2420709710796</v>
      </c>
      <c r="K3" s="156">
        <f>'Prognoza BA'!K3/365</f>
        <v>4452.0975310767462</v>
      </c>
      <c r="L3" s="156">
        <f>'Prognoza BA'!L3/365</f>
        <v>4622.2577610474464</v>
      </c>
      <c r="M3" s="156">
        <f>'Prognoza BA'!M3/365</f>
        <v>4604.4685009319192</v>
      </c>
      <c r="N3" s="156">
        <f>'Prognoza BA'!N3/365</f>
        <v>4586.7684968644789</v>
      </c>
      <c r="O3" s="156">
        <f>'Prognoza BA'!O3/365</f>
        <v>4569.1571624837834</v>
      </c>
      <c r="P3" s="156">
        <f>'Prognoza BA'!P3/365</f>
        <v>4551.6339172051912</v>
      </c>
      <c r="Q3" s="156">
        <f>'Prognoza BA'!Q3/365</f>
        <v>4534.1981861501718</v>
      </c>
      <c r="R3" s="156">
        <f>'Prognoza BA'!R3/365</f>
        <v>4516.8494000765786</v>
      </c>
      <c r="S3" s="156">
        <f>'Prognoza BA'!S3/365</f>
        <v>4501.6799747952628</v>
      </c>
      <c r="T3" s="156">
        <f>'Prognoza BA'!T3/365</f>
        <v>4479.3936392672813</v>
      </c>
      <c r="U3" s="156">
        <f>'Prognoza BA'!U3/365</f>
        <v>4457.2762091787281</v>
      </c>
      <c r="V3" s="156">
        <f>'Prognoza BA'!V3/365</f>
        <v>4435.3261635356184</v>
      </c>
      <c r="W3" s="156">
        <f>'Prognoza BA'!W3/365</f>
        <v>4413.5419963814584</v>
      </c>
      <c r="X3" s="156">
        <f>'Prognoza BA'!X3/365</f>
        <v>4391.9222166434147</v>
      </c>
      <c r="Y3" s="156">
        <f>'Prognoza BA'!Y3/365</f>
        <v>4370.4653479800927</v>
      </c>
      <c r="Z3" s="156">
        <f>'Prognoza BA'!Z3/365</f>
        <v>4349.1699286308676</v>
      </c>
      <c r="AA3" s="156">
        <f>'Prognoza BA'!AA3/365</f>
        <v>4328.0345112667665</v>
      </c>
      <c r="AB3" s="156">
        <f>'Prognoza BA'!AB3/365</f>
        <v>4307.0576628428926</v>
      </c>
      <c r="AC3" s="156">
        <f>'Prognoza BA'!AC3/365</f>
        <v>4290.8379631483649</v>
      </c>
      <c r="AD3" s="156">
        <f>'Prognoza BA'!AD3/365</f>
        <v>4274.7597818794547</v>
      </c>
      <c r="AE3" s="156">
        <f>'Prognoza BA'!AE3/365</f>
        <v>4258.8216538472934</v>
      </c>
      <c r="AF3" s="156">
        <f>'Prognoza BA'!AF3/365</f>
        <v>4243.0221290425989</v>
      </c>
      <c r="AG3" s="156">
        <f>'Prognoza BA'!AG3/365</f>
        <v>4227.359772481027</v>
      </c>
      <c r="AH3" s="156">
        <f>'Prognoza BA'!AH3/365</f>
        <v>4211.8331640500819</v>
      </c>
      <c r="AI3" s="156">
        <f>'Prognoza BA'!AI3/365</f>
        <v>4196.4408983575649</v>
      </c>
      <c r="AJ3" s="157">
        <f>'Prognoza BA'!AJ3/365</f>
        <v>4175.9615002141145</v>
      </c>
    </row>
    <row r="4" spans="1:36" ht="15" customHeight="1" x14ac:dyDescent="0.25">
      <c r="A4" s="221"/>
      <c r="B4" s="158" t="s">
        <v>1</v>
      </c>
      <c r="C4" s="219"/>
      <c r="D4" s="8" t="s">
        <v>27</v>
      </c>
      <c r="E4" s="137" t="s">
        <v>77</v>
      </c>
      <c r="F4" s="143">
        <f>'Prognoza BA'!F8/365</f>
        <v>2213.3397260273973</v>
      </c>
      <c r="G4" s="143">
        <f>'Prognoza BA'!G8/365</f>
        <v>2136.4856300457632</v>
      </c>
      <c r="H4" s="143">
        <f>'Prognoza BA'!H8/365</f>
        <v>2117.775563415476</v>
      </c>
      <c r="I4" s="145">
        <f>'Prognoza BA'!I8/365</f>
        <v>2099.4610290854262</v>
      </c>
      <c r="J4" s="145">
        <f>'Prognoza BA'!J8/365</f>
        <v>2081.4699025760192</v>
      </c>
      <c r="K4" s="145">
        <f>'Prognoza BA'!K8/365</f>
        <v>2063.7405611665663</v>
      </c>
      <c r="L4" s="143">
        <f>'Prognoza BA'!L8/365</f>
        <v>2144.7154929642584</v>
      </c>
      <c r="M4" s="146">
        <f>'Prognoza BA'!M8/365</f>
        <v>2126.3701544886103</v>
      </c>
      <c r="N4" s="143">
        <f>'Prognoza BA'!N8/365</f>
        <v>2108.1985999555654</v>
      </c>
      <c r="O4" s="146">
        <f>'Prognoza BA'!O8/365</f>
        <v>2090.1991249292405</v>
      </c>
      <c r="P4" s="143">
        <f>'Prognoza BA'!P8/365</f>
        <v>2072.3700420086293</v>
      </c>
      <c r="Q4" s="143">
        <f>'Prognoza BA'!Q8/365</f>
        <v>2054.7096806558552</v>
      </c>
      <c r="R4" s="143">
        <f>'Prognoza BA'!R8/365</f>
        <v>2037.2163870261595</v>
      </c>
      <c r="S4" s="143">
        <f>'Prognoza BA'!S8/365</f>
        <v>2020.1168488343837</v>
      </c>
      <c r="T4" s="143">
        <f>'Prognoza BA'!T8/365</f>
        <v>2002.3953673518542</v>
      </c>
      <c r="U4" s="143">
        <f>'Prognoza BA'!U8/365</f>
        <v>1984.8452143660584</v>
      </c>
      <c r="V4" s="143">
        <f>'Prognoza BA'!V8/365</f>
        <v>1967.4646949258897</v>
      </c>
      <c r="W4" s="143">
        <f>'Prognoza BA'!W8/365</f>
        <v>1950.2521310109432</v>
      </c>
      <c r="X4" s="143">
        <f>'Prognoza BA'!X8/365</f>
        <v>1933.2058613618269</v>
      </c>
      <c r="Y4" s="143">
        <f>'Prognoza BA'!Y8/365</f>
        <v>1916.3242413121843</v>
      </c>
      <c r="Z4" s="143">
        <f>'Prognoza BA'!Z8/365</f>
        <v>1899.6056426223979</v>
      </c>
      <c r="AA4" s="143">
        <f>'Prognoza BA'!AA8/365</f>
        <v>1883.0484533149602</v>
      </c>
      <c r="AB4" s="143">
        <f>'Prognoza BA'!AB8/365</f>
        <v>1866.6510775114971</v>
      </c>
      <c r="AC4" s="143">
        <f>'Prognoza BA'!AC8/365</f>
        <v>1850.9137533109893</v>
      </c>
      <c r="AD4" s="143">
        <f>'Prognoza BA'!AD8/365</f>
        <v>1835.3315465083422</v>
      </c>
      <c r="AE4" s="143">
        <f>'Prognoza BA'!AE8/365</f>
        <v>1819.9029004745278</v>
      </c>
      <c r="AF4" s="143">
        <f>'Prognoza BA'!AF8/365</f>
        <v>1804.6262742043766</v>
      </c>
      <c r="AG4" s="143">
        <f>'Prognoza BA'!AG8/365</f>
        <v>1789.5001421600259</v>
      </c>
      <c r="AH4" s="143">
        <f>'Prognoza BA'!AH8/365</f>
        <v>1774.5229941159382</v>
      </c>
      <c r="AI4" s="143">
        <f>'Prognoza BA'!AI8/365</f>
        <v>1759.693335005468</v>
      </c>
      <c r="AJ4" s="159">
        <f>'Prognoza BA'!AJ8/365</f>
        <v>1744.4402210197907</v>
      </c>
    </row>
    <row r="5" spans="1:36" x14ac:dyDescent="0.25">
      <c r="A5" s="221"/>
      <c r="B5" s="158" t="s">
        <v>3</v>
      </c>
      <c r="C5" s="219"/>
      <c r="D5" s="147" t="s">
        <v>78</v>
      </c>
      <c r="E5" s="26" t="s">
        <v>2</v>
      </c>
      <c r="F5" s="148">
        <f>F4/F3</f>
        <v>0.55212328561157575</v>
      </c>
      <c r="G5" s="149">
        <f t="shared" ref="G5:AJ5" si="0">G4/G3</f>
        <v>0.52893663752928777</v>
      </c>
      <c r="H5" s="149">
        <f t="shared" si="0"/>
        <v>0.51258541782691747</v>
      </c>
      <c r="I5" s="149">
        <f t="shared" si="0"/>
        <v>0.49592764358971547</v>
      </c>
      <c r="J5" s="149">
        <f t="shared" si="0"/>
        <v>0.47946414149405436</v>
      </c>
      <c r="K5" s="149">
        <f t="shared" si="0"/>
        <v>0.46354343020590738</v>
      </c>
      <c r="L5" s="148">
        <f t="shared" si="0"/>
        <v>0.46399738046591454</v>
      </c>
      <c r="M5" s="148">
        <f t="shared" si="0"/>
        <v>0.46180577716152138</v>
      </c>
      <c r="N5" s="148">
        <f t="shared" si="0"/>
        <v>0.45962611834382588</v>
      </c>
      <c r="O5" s="148">
        <f t="shared" si="0"/>
        <v>0.45745835623500702</v>
      </c>
      <c r="P5" s="148">
        <f t="shared" si="0"/>
        <v>0.45530244296999889</v>
      </c>
      <c r="Q5" s="148">
        <f t="shared" si="0"/>
        <v>0.4531583306023147</v>
      </c>
      <c r="R5" s="148">
        <f t="shared" si="0"/>
        <v>0.45102597110977855</v>
      </c>
      <c r="S5" s="148">
        <f t="shared" si="0"/>
        <v>0.44874732547514312</v>
      </c>
      <c r="T5" s="148">
        <f t="shared" si="0"/>
        <v>0.44702375558121232</v>
      </c>
      <c r="U5" s="148">
        <f t="shared" si="0"/>
        <v>0.44530451361275958</v>
      </c>
      <c r="V5" s="148">
        <f t="shared" si="0"/>
        <v>0.44358963070204649</v>
      </c>
      <c r="W5" s="148">
        <f t="shared" si="0"/>
        <v>0.44187913757474184</v>
      </c>
      <c r="X5" s="148">
        <f t="shared" si="0"/>
        <v>0.44017306454924088</v>
      </c>
      <c r="Y5" s="148">
        <f t="shared" si="0"/>
        <v>0.43847144153604972</v>
      </c>
      <c r="Z5" s="148">
        <f t="shared" si="0"/>
        <v>0.43677429803723483</v>
      </c>
      <c r="AA5" s="148">
        <f t="shared" si="0"/>
        <v>0.43508166314593766</v>
      </c>
      <c r="AB5" s="148">
        <f t="shared" si="0"/>
        <v>0.43339356554595226</v>
      </c>
      <c r="AC5" s="148">
        <f t="shared" si="0"/>
        <v>0.43136416923861126</v>
      </c>
      <c r="AD5" s="148">
        <f t="shared" si="0"/>
        <v>0.42934144610610481</v>
      </c>
      <c r="AE5" s="148">
        <f t="shared" si="0"/>
        <v>0.42732545487798984</v>
      </c>
      <c r="AF5" s="148">
        <f t="shared" si="0"/>
        <v>0.42531625320831756</v>
      </c>
      <c r="AG5" s="148">
        <f t="shared" si="0"/>
        <v>0.42331389767419125</v>
      </c>
      <c r="AH5" s="148">
        <f t="shared" si="0"/>
        <v>0.42131844377462568</v>
      </c>
      <c r="AI5" s="148">
        <f t="shared" si="0"/>
        <v>0.41932994592970207</v>
      </c>
      <c r="AJ5" s="160">
        <f t="shared" si="0"/>
        <v>0.41773378919569726</v>
      </c>
    </row>
    <row r="6" spans="1:36" x14ac:dyDescent="0.25">
      <c r="A6" s="221"/>
      <c r="B6" s="158" t="s">
        <v>0</v>
      </c>
      <c r="C6" s="219"/>
      <c r="D6" s="8" t="s">
        <v>79</v>
      </c>
      <c r="E6" s="26" t="s">
        <v>77</v>
      </c>
      <c r="F6" s="171">
        <f>'Prognoza BA'!F15/365</f>
        <v>1738.0046142754145</v>
      </c>
      <c r="G6" s="171">
        <f>'Prognoza BA'!G15/365</f>
        <v>1720.6245681326604</v>
      </c>
      <c r="H6" s="171">
        <f>'Prognoza BA'!H15/365</f>
        <v>1703.4183224513336</v>
      </c>
      <c r="I6" s="171">
        <f>'Prognoza BA'!I15/365</f>
        <v>1686.3841392268203</v>
      </c>
      <c r="J6" s="171">
        <f>'Prognoza BA'!J15/365</f>
        <v>1669.5202978345521</v>
      </c>
      <c r="K6" s="171">
        <f>'Prognoza BA'!K15/365</f>
        <v>1652.8250948562068</v>
      </c>
      <c r="L6" s="171">
        <f>'Prognoza BA'!L15/365</f>
        <v>1673.9481548562067</v>
      </c>
      <c r="M6" s="171">
        <f>'Prognoza BA'!M15/365</f>
        <v>1657.2086733076444</v>
      </c>
      <c r="N6" s="171">
        <f>'Prognoza BA'!N15/365</f>
        <v>1640.6365865745681</v>
      </c>
      <c r="O6" s="171">
        <f>'Prognoza BA'!O15/365</f>
        <v>1624.2302207088223</v>
      </c>
      <c r="P6" s="171">
        <f>'Prognoza BA'!P15/365</f>
        <v>1607.9879185017339</v>
      </c>
      <c r="Q6" s="171">
        <f>'Prognoza BA'!Q15/365</f>
        <v>1591.9080393167164</v>
      </c>
      <c r="R6" s="171">
        <f>'Prognoza BA'!R15/365</f>
        <v>1575.9889589235493</v>
      </c>
      <c r="S6" s="171">
        <f>'Prognoza BA'!S15/365</f>
        <v>1560.2290693343139</v>
      </c>
      <c r="T6" s="171">
        <f>'Prognoza BA'!T15/365</f>
        <v>1544.6267786409705</v>
      </c>
      <c r="U6" s="171">
        <f>'Prognoza BA'!U15/365</f>
        <v>1529.1805108545609</v>
      </c>
      <c r="V6" s="171">
        <f>'Prognoza BA'!V15/365</f>
        <v>1513.8887057460151</v>
      </c>
      <c r="W6" s="171">
        <f>'Prognoza BA'!W15/365</f>
        <v>1498.7498186885553</v>
      </c>
      <c r="X6" s="171">
        <f>'Prognoza BA'!X15/365</f>
        <v>1483.7623205016696</v>
      </c>
      <c r="Y6" s="171">
        <f>'Prognoza BA'!Y15/365</f>
        <v>1468.9246972966528</v>
      </c>
      <c r="Z6" s="171">
        <f>'Prognoza BA'!Z15/365</f>
        <v>1454.2354503236861</v>
      </c>
      <c r="AA6" s="171">
        <f>'Prognoza BA'!AA15/365</f>
        <v>1439.6930958204491</v>
      </c>
      <c r="AB6" s="171">
        <f>'Prognoza BA'!AB15/365</f>
        <v>1425.2961648622447</v>
      </c>
      <c r="AC6" s="171">
        <f>'Prognoza BA'!AC15/365</f>
        <v>1411.0432032136221</v>
      </c>
      <c r="AD6" s="171">
        <f>'Prognoza BA'!AD15/365</f>
        <v>1396.9327711814858</v>
      </c>
      <c r="AE6" s="171">
        <f>'Prognoza BA'!AE15/365</f>
        <v>1382.9634434696709</v>
      </c>
      <c r="AF6" s="171">
        <f>'Prognoza BA'!AF15/365</f>
        <v>1369.1338090349743</v>
      </c>
      <c r="AG6" s="171">
        <f>'Prognoza BA'!AG15/365</f>
        <v>1355.4424709446246</v>
      </c>
      <c r="AH6" s="171">
        <f>'Prognoza BA'!AH15/365</f>
        <v>1341.8880462351783</v>
      </c>
      <c r="AI6" s="171">
        <f>'Prognoza BA'!AI15/365</f>
        <v>1328.4691657728265</v>
      </c>
      <c r="AJ6" s="172">
        <f>'Prognoza BA'!AJ15/365</f>
        <v>1315.1844741150983</v>
      </c>
    </row>
    <row r="7" spans="1:36" x14ac:dyDescent="0.25">
      <c r="A7" s="221"/>
      <c r="B7" s="158"/>
      <c r="C7" s="219"/>
      <c r="D7" s="8" t="s">
        <v>80</v>
      </c>
      <c r="E7" s="26" t="s">
        <v>2</v>
      </c>
      <c r="F7" s="144">
        <f>F6/F3</f>
        <v>0.43354971980019619</v>
      </c>
      <c r="G7" s="144">
        <f t="shared" ref="G7:AJ7" si="1">G6/G3</f>
        <v>0.42598057329263578</v>
      </c>
      <c r="H7" s="144">
        <f t="shared" si="1"/>
        <v>0.41229458287806542</v>
      </c>
      <c r="I7" s="144">
        <f t="shared" si="1"/>
        <v>0.39835200595180847</v>
      </c>
      <c r="J7" s="144">
        <f t="shared" si="1"/>
        <v>0.38457203503998616</v>
      </c>
      <c r="K7" s="144">
        <f t="shared" si="1"/>
        <v>0.37124638068215648</v>
      </c>
      <c r="L7" s="144">
        <f t="shared" si="1"/>
        <v>0.3621494605867403</v>
      </c>
      <c r="M7" s="144">
        <f t="shared" si="1"/>
        <v>0.3599131306842982</v>
      </c>
      <c r="N7" s="144">
        <f t="shared" si="1"/>
        <v>0.35768898903358859</v>
      </c>
      <c r="O7" s="144">
        <f t="shared" si="1"/>
        <v>0.35547698688173257</v>
      </c>
      <c r="P7" s="144">
        <f t="shared" si="1"/>
        <v>0.35327707538682634</v>
      </c>
      <c r="Q7" s="144">
        <f t="shared" si="1"/>
        <v>0.35108920562388335</v>
      </c>
      <c r="R7" s="144">
        <f t="shared" si="1"/>
        <v>0.34891332859068314</v>
      </c>
      <c r="S7" s="144">
        <f t="shared" si="1"/>
        <v>0.34658817998391223</v>
      </c>
      <c r="T7" s="144">
        <f t="shared" si="1"/>
        <v>0.34482943519418702</v>
      </c>
      <c r="U7" s="144">
        <f t="shared" si="1"/>
        <v>0.34307510665494945</v>
      </c>
      <c r="V7" s="144">
        <f t="shared" si="1"/>
        <v>0.34132522613381366</v>
      </c>
      <c r="W7" s="144">
        <f t="shared" si="1"/>
        <v>0.33957982498350281</v>
      </c>
      <c r="X7" s="144">
        <f t="shared" si="1"/>
        <v>0.3378389341411549</v>
      </c>
      <c r="Y7" s="144">
        <f t="shared" si="1"/>
        <v>0.3361025841276945</v>
      </c>
      <c r="Z7" s="144">
        <f t="shared" si="1"/>
        <v>0.33437080504727118</v>
      </c>
      <c r="AA7" s="144">
        <f t="shared" si="1"/>
        <v>0.33264362658676383</v>
      </c>
      <c r="AB7" s="144">
        <f t="shared" si="1"/>
        <v>0.3309210780153502</v>
      </c>
      <c r="AC7" s="144">
        <f t="shared" si="1"/>
        <v>0.32885026545683899</v>
      </c>
      <c r="AD7" s="144">
        <f t="shared" si="1"/>
        <v>0.32678626226040375</v>
      </c>
      <c r="AE7" s="144">
        <f t="shared" si="1"/>
        <v>0.32472912835416401</v>
      </c>
      <c r="AF7" s="144">
        <f t="shared" si="1"/>
        <v>0.32267892256878411</v>
      </c>
      <c r="AG7" s="144">
        <f t="shared" si="1"/>
        <v>0.32063570263600222</v>
      </c>
      <c r="AH7" s="144">
        <f t="shared" si="1"/>
        <v>0.31859952518746593</v>
      </c>
      <c r="AI7" s="144">
        <f t="shared" si="1"/>
        <v>0.31657044575387033</v>
      </c>
      <c r="AJ7" s="161">
        <f t="shared" si="1"/>
        <v>0.31494171439264101</v>
      </c>
    </row>
    <row r="8" spans="1:36" x14ac:dyDescent="0.25">
      <c r="A8" s="221"/>
      <c r="B8" s="158" t="s">
        <v>5</v>
      </c>
      <c r="C8" s="219"/>
      <c r="D8" s="8" t="s">
        <v>91</v>
      </c>
      <c r="E8" s="26" t="s">
        <v>4</v>
      </c>
      <c r="F8" s="143">
        <f>F6/F13*1000</f>
        <v>742.73701464761302</v>
      </c>
      <c r="G8" s="167">
        <f t="shared" ref="G8:AJ8" si="2">G6/G13*1000</f>
        <v>735.30964450113686</v>
      </c>
      <c r="H8" s="167">
        <f t="shared" si="2"/>
        <v>727.95654805612537</v>
      </c>
      <c r="I8" s="167">
        <f t="shared" si="2"/>
        <v>720.67698257556424</v>
      </c>
      <c r="J8" s="167">
        <f t="shared" si="2"/>
        <v>713.47021274980864</v>
      </c>
      <c r="K8" s="167">
        <f t="shared" si="2"/>
        <v>706.33551062231061</v>
      </c>
      <c r="L8" s="168">
        <f t="shared" si="2"/>
        <v>586.08244091507549</v>
      </c>
      <c r="M8" s="168">
        <f t="shared" si="2"/>
        <v>580.22161650592466</v>
      </c>
      <c r="N8" s="168">
        <f t="shared" si="2"/>
        <v>574.41940034086542</v>
      </c>
      <c r="O8" s="168">
        <f t="shared" si="2"/>
        <v>568.67520633745676</v>
      </c>
      <c r="P8" s="168">
        <f t="shared" si="2"/>
        <v>562.98845427408207</v>
      </c>
      <c r="Q8" s="168">
        <f t="shared" si="2"/>
        <v>557.35856973134128</v>
      </c>
      <c r="R8" s="168">
        <f t="shared" si="2"/>
        <v>551.78498403402773</v>
      </c>
      <c r="S8" s="168">
        <f t="shared" si="2"/>
        <v>546.26713419368753</v>
      </c>
      <c r="T8" s="168">
        <f t="shared" si="2"/>
        <v>540.8044628517506</v>
      </c>
      <c r="U8" s="168">
        <f t="shared" si="2"/>
        <v>535.39641822323313</v>
      </c>
      <c r="V8" s="168">
        <f t="shared" si="2"/>
        <v>530.04245404100084</v>
      </c>
      <c r="W8" s="168">
        <f t="shared" si="2"/>
        <v>524.74202950059077</v>
      </c>
      <c r="X8" s="168">
        <f t="shared" si="2"/>
        <v>519.49460920558488</v>
      </c>
      <c r="Y8" s="168">
        <f t="shared" si="2"/>
        <v>514.29966311352905</v>
      </c>
      <c r="Z8" s="168">
        <f t="shared" si="2"/>
        <v>509.15666648239369</v>
      </c>
      <c r="AA8" s="168">
        <f t="shared" si="2"/>
        <v>504.06509981756966</v>
      </c>
      <c r="AB8" s="168">
        <f t="shared" si="2"/>
        <v>499.02444881939402</v>
      </c>
      <c r="AC8" s="168">
        <f t="shared" si="2"/>
        <v>494.03420433119999</v>
      </c>
      <c r="AD8" s="168">
        <f t="shared" si="2"/>
        <v>489.09386228788799</v>
      </c>
      <c r="AE8" s="168">
        <f t="shared" si="2"/>
        <v>484.20292366500911</v>
      </c>
      <c r="AF8" s="168">
        <f t="shared" si="2"/>
        <v>479.36089442835907</v>
      </c>
      <c r="AG8" s="168">
        <f t="shared" si="2"/>
        <v>474.56728548407546</v>
      </c>
      <c r="AH8" s="168">
        <f t="shared" si="2"/>
        <v>469.82161262923472</v>
      </c>
      <c r="AI8" s="168">
        <f t="shared" si="2"/>
        <v>465.12339650294234</v>
      </c>
      <c r="AJ8" s="169">
        <f t="shared" si="2"/>
        <v>460.47216253791294</v>
      </c>
    </row>
    <row r="9" spans="1:36" x14ac:dyDescent="0.25">
      <c r="A9" s="221"/>
      <c r="B9" s="158" t="s">
        <v>98</v>
      </c>
      <c r="C9" s="219"/>
      <c r="D9" s="8" t="s">
        <v>92</v>
      </c>
      <c r="E9" s="26" t="s">
        <v>93</v>
      </c>
      <c r="F9" s="143">
        <f>F6/F12</f>
        <v>36.208429464071138</v>
      </c>
      <c r="G9" s="167">
        <f t="shared" ref="G9:AJ9" si="3">G6/G12</f>
        <v>35.846345169430428</v>
      </c>
      <c r="H9" s="167">
        <f t="shared" si="3"/>
        <v>35.487881717736116</v>
      </c>
      <c r="I9" s="167">
        <f t="shared" si="3"/>
        <v>35.133002900558758</v>
      </c>
      <c r="J9" s="167">
        <f t="shared" si="3"/>
        <v>34.78167287155317</v>
      </c>
      <c r="K9" s="167">
        <f t="shared" si="3"/>
        <v>34.433856142837641</v>
      </c>
      <c r="L9" s="168">
        <f t="shared" si="3"/>
        <v>28.571518994609931</v>
      </c>
      <c r="M9" s="168">
        <f t="shared" si="3"/>
        <v>28.285803804663828</v>
      </c>
      <c r="N9" s="168">
        <f t="shared" si="3"/>
        <v>28.002945766617191</v>
      </c>
      <c r="O9" s="168">
        <f t="shared" si="3"/>
        <v>27.722916308951021</v>
      </c>
      <c r="P9" s="168">
        <f t="shared" si="3"/>
        <v>27.445687145861505</v>
      </c>
      <c r="Q9" s="168">
        <f t="shared" si="3"/>
        <v>27.171230274402888</v>
      </c>
      <c r="R9" s="168">
        <f t="shared" si="3"/>
        <v>26.899517971658859</v>
      </c>
      <c r="S9" s="168">
        <f t="shared" si="3"/>
        <v>26.630522791942273</v>
      </c>
      <c r="T9" s="168">
        <f t="shared" si="3"/>
        <v>26.364217564022848</v>
      </c>
      <c r="U9" s="168">
        <f t="shared" si="3"/>
        <v>26.100575388382619</v>
      </c>
      <c r="V9" s="168">
        <f t="shared" si="3"/>
        <v>25.83956963449879</v>
      </c>
      <c r="W9" s="168">
        <f t="shared" si="3"/>
        <v>25.581173938153807</v>
      </c>
      <c r="X9" s="168">
        <f t="shared" si="3"/>
        <v>25.325362198772268</v>
      </c>
      <c r="Y9" s="168">
        <f t="shared" si="3"/>
        <v>25.07210857678454</v>
      </c>
      <c r="Z9" s="168">
        <f t="shared" si="3"/>
        <v>24.821387491016694</v>
      </c>
      <c r="AA9" s="168">
        <f t="shared" si="3"/>
        <v>24.573173616106526</v>
      </c>
      <c r="AB9" s="168">
        <f t="shared" si="3"/>
        <v>24.327441879945461</v>
      </c>
      <c r="AC9" s="168">
        <f t="shared" si="3"/>
        <v>24.084167461146002</v>
      </c>
      <c r="AD9" s="168">
        <f t="shared" si="3"/>
        <v>23.843325786534542</v>
      </c>
      <c r="AE9" s="168">
        <f t="shared" si="3"/>
        <v>23.604892528669197</v>
      </c>
      <c r="AF9" s="168">
        <f t="shared" si="3"/>
        <v>23.368843603382505</v>
      </c>
      <c r="AG9" s="168">
        <f t="shared" si="3"/>
        <v>23.135155167348682</v>
      </c>
      <c r="AH9" s="168">
        <f t="shared" si="3"/>
        <v>22.903803615675194</v>
      </c>
      <c r="AI9" s="168">
        <f t="shared" si="3"/>
        <v>22.674765579518443</v>
      </c>
      <c r="AJ9" s="169">
        <f t="shared" si="3"/>
        <v>22.44801792372326</v>
      </c>
    </row>
    <row r="10" spans="1:36" x14ac:dyDescent="0.25">
      <c r="A10" s="221"/>
      <c r="B10" s="158"/>
      <c r="C10" s="219"/>
      <c r="D10" s="8" t="s">
        <v>35</v>
      </c>
      <c r="E10" s="26" t="s">
        <v>76</v>
      </c>
      <c r="F10" s="145">
        <f>((18*F12/F13+0.8+0.025*F15)*F14)*F13/1000</f>
        <v>95.760000000000019</v>
      </c>
      <c r="G10" s="167">
        <f t="shared" ref="G10:AJ10" si="4">((18*G12/G13+0.8+0.025*G15)*G14)*G13/1000</f>
        <v>95.760000000000019</v>
      </c>
      <c r="H10" s="167">
        <f t="shared" si="4"/>
        <v>95.760000000000019</v>
      </c>
      <c r="I10" s="167">
        <f t="shared" si="4"/>
        <v>95.760000000000019</v>
      </c>
      <c r="J10" s="167">
        <f t="shared" si="4"/>
        <v>95.760000000000019</v>
      </c>
      <c r="K10" s="167">
        <f t="shared" si="4"/>
        <v>95.760000000000019</v>
      </c>
      <c r="L10" s="168">
        <f t="shared" si="4"/>
        <v>116.88306000000003</v>
      </c>
      <c r="M10" s="168">
        <f t="shared" si="4"/>
        <v>116.88306000000003</v>
      </c>
      <c r="N10" s="168">
        <f t="shared" si="4"/>
        <v>116.88306000000003</v>
      </c>
      <c r="O10" s="168">
        <f t="shared" si="4"/>
        <v>116.88306000000003</v>
      </c>
      <c r="P10" s="168">
        <f t="shared" si="4"/>
        <v>116.88306000000003</v>
      </c>
      <c r="Q10" s="168">
        <f t="shared" si="4"/>
        <v>116.88306000000003</v>
      </c>
      <c r="R10" s="168">
        <f t="shared" si="4"/>
        <v>116.88306000000003</v>
      </c>
      <c r="S10" s="168">
        <f t="shared" si="4"/>
        <v>116.88306000000003</v>
      </c>
      <c r="T10" s="168">
        <f t="shared" si="4"/>
        <v>116.88306000000003</v>
      </c>
      <c r="U10" s="168">
        <f t="shared" si="4"/>
        <v>116.88306000000003</v>
      </c>
      <c r="V10" s="168">
        <f t="shared" si="4"/>
        <v>116.88306000000003</v>
      </c>
      <c r="W10" s="168">
        <f t="shared" si="4"/>
        <v>116.88306000000003</v>
      </c>
      <c r="X10" s="168">
        <f t="shared" si="4"/>
        <v>116.88306000000003</v>
      </c>
      <c r="Y10" s="168">
        <f t="shared" si="4"/>
        <v>116.88306000000003</v>
      </c>
      <c r="Z10" s="168">
        <f t="shared" si="4"/>
        <v>116.88306000000003</v>
      </c>
      <c r="AA10" s="168">
        <f t="shared" si="4"/>
        <v>116.88306000000003</v>
      </c>
      <c r="AB10" s="168">
        <f t="shared" si="4"/>
        <v>116.88306000000003</v>
      </c>
      <c r="AC10" s="168">
        <f t="shared" si="4"/>
        <v>116.88306000000003</v>
      </c>
      <c r="AD10" s="168">
        <f t="shared" si="4"/>
        <v>116.88306000000003</v>
      </c>
      <c r="AE10" s="168">
        <f t="shared" si="4"/>
        <v>116.88306000000003</v>
      </c>
      <c r="AF10" s="168">
        <f t="shared" si="4"/>
        <v>116.88306000000003</v>
      </c>
      <c r="AG10" s="168">
        <f t="shared" si="4"/>
        <v>116.88306000000003</v>
      </c>
      <c r="AH10" s="168">
        <f t="shared" si="4"/>
        <v>116.88306000000003</v>
      </c>
      <c r="AI10" s="168">
        <f t="shared" si="4"/>
        <v>116.88306000000003</v>
      </c>
      <c r="AJ10" s="169">
        <f t="shared" si="4"/>
        <v>116.88306000000003</v>
      </c>
    </row>
    <row r="11" spans="1:36" ht="15.75" thickBot="1" x14ac:dyDescent="0.3">
      <c r="A11" s="221"/>
      <c r="B11" s="162" t="s">
        <v>7</v>
      </c>
      <c r="C11" s="220"/>
      <c r="D11" s="43" t="s">
        <v>6</v>
      </c>
      <c r="E11" s="141"/>
      <c r="F11" s="173">
        <f>F6/F10</f>
        <v>18.14958870379505</v>
      </c>
      <c r="G11" s="174">
        <f t="shared" ref="G11:AJ11" si="5">G6/G10</f>
        <v>17.968092816757103</v>
      </c>
      <c r="H11" s="174">
        <f t="shared" si="5"/>
        <v>17.788411888589529</v>
      </c>
      <c r="I11" s="174">
        <f t="shared" si="5"/>
        <v>17.610527769703634</v>
      </c>
      <c r="J11" s="174">
        <f t="shared" si="5"/>
        <v>17.434422492006597</v>
      </c>
      <c r="K11" s="174">
        <f t="shared" si="5"/>
        <v>17.260078267086534</v>
      </c>
      <c r="L11" s="175">
        <f t="shared" si="5"/>
        <v>14.321563405819511</v>
      </c>
      <c r="M11" s="175">
        <f t="shared" si="5"/>
        <v>14.178347771761315</v>
      </c>
      <c r="N11" s="175">
        <f t="shared" si="5"/>
        <v>14.036564294043702</v>
      </c>
      <c r="O11" s="175">
        <f t="shared" si="5"/>
        <v>13.896198651103264</v>
      </c>
      <c r="P11" s="175">
        <f t="shared" si="5"/>
        <v>13.757236664592231</v>
      </c>
      <c r="Q11" s="175">
        <f t="shared" si="5"/>
        <v>13.619664297946306</v>
      </c>
      <c r="R11" s="175">
        <f t="shared" si="5"/>
        <v>13.483467654966844</v>
      </c>
      <c r="S11" s="175">
        <f t="shared" si="5"/>
        <v>13.348632978417175</v>
      </c>
      <c r="T11" s="175">
        <f t="shared" si="5"/>
        <v>13.215146648633002</v>
      </c>
      <c r="U11" s="175">
        <f t="shared" si="5"/>
        <v>13.082995182146673</v>
      </c>
      <c r="V11" s="175">
        <f t="shared" si="5"/>
        <v>12.952165230325205</v>
      </c>
      <c r="W11" s="175">
        <f t="shared" si="5"/>
        <v>12.822643578021955</v>
      </c>
      <c r="X11" s="175">
        <f t="shared" si="5"/>
        <v>12.694417142241734</v>
      </c>
      <c r="Y11" s="175">
        <f t="shared" si="5"/>
        <v>12.567472970819317</v>
      </c>
      <c r="Z11" s="175">
        <f t="shared" si="5"/>
        <v>12.441798241111123</v>
      </c>
      <c r="AA11" s="175">
        <f t="shared" si="5"/>
        <v>12.317380258700009</v>
      </c>
      <c r="AB11" s="175">
        <f t="shared" si="5"/>
        <v>12.19420645611301</v>
      </c>
      <c r="AC11" s="175">
        <f t="shared" si="5"/>
        <v>12.072264391551878</v>
      </c>
      <c r="AD11" s="175">
        <f t="shared" si="5"/>
        <v>11.951541747636359</v>
      </c>
      <c r="AE11" s="175">
        <f t="shared" si="5"/>
        <v>11.832026330159996</v>
      </c>
      <c r="AF11" s="175">
        <f t="shared" si="5"/>
        <v>11.713706066858396</v>
      </c>
      <c r="AG11" s="175">
        <f t="shared" si="5"/>
        <v>11.596569006189812</v>
      </c>
      <c r="AH11" s="175">
        <f t="shared" si="5"/>
        <v>11.480603316127914</v>
      </c>
      <c r="AI11" s="175">
        <f t="shared" si="5"/>
        <v>11.365797282966636</v>
      </c>
      <c r="AJ11" s="176">
        <f t="shared" si="5"/>
        <v>11.252139310136968</v>
      </c>
    </row>
    <row r="12" spans="1:36" x14ac:dyDescent="0.25">
      <c r="A12" s="221"/>
      <c r="B12" s="153" t="s">
        <v>97</v>
      </c>
      <c r="C12" s="223" t="s">
        <v>81</v>
      </c>
      <c r="D12" s="37" t="s">
        <v>83</v>
      </c>
      <c r="E12" s="33" t="s">
        <v>84</v>
      </c>
      <c r="F12" s="37">
        <f>[3]Network!$D$28</f>
        <v>48</v>
      </c>
      <c r="G12" s="39">
        <f>F12</f>
        <v>48</v>
      </c>
      <c r="H12" s="39">
        <f t="shared" ref="H12:K12" si="6">G12</f>
        <v>48</v>
      </c>
      <c r="I12" s="39">
        <f t="shared" si="6"/>
        <v>48</v>
      </c>
      <c r="J12" s="39">
        <f t="shared" si="6"/>
        <v>48</v>
      </c>
      <c r="K12" s="39">
        <f t="shared" si="6"/>
        <v>48</v>
      </c>
      <c r="L12" s="165">
        <f>K12+2.179+8.409</f>
        <v>58.588000000000001</v>
      </c>
      <c r="M12" s="165">
        <f>L12</f>
        <v>58.588000000000001</v>
      </c>
      <c r="N12" s="165">
        <f t="shared" ref="N12:AJ12" si="7">M12</f>
        <v>58.588000000000001</v>
      </c>
      <c r="O12" s="165">
        <f t="shared" si="7"/>
        <v>58.588000000000001</v>
      </c>
      <c r="P12" s="165">
        <f t="shared" si="7"/>
        <v>58.588000000000001</v>
      </c>
      <c r="Q12" s="165">
        <f t="shared" si="7"/>
        <v>58.588000000000001</v>
      </c>
      <c r="R12" s="165">
        <f t="shared" si="7"/>
        <v>58.588000000000001</v>
      </c>
      <c r="S12" s="165">
        <f t="shared" si="7"/>
        <v>58.588000000000001</v>
      </c>
      <c r="T12" s="165">
        <f t="shared" si="7"/>
        <v>58.588000000000001</v>
      </c>
      <c r="U12" s="165">
        <f t="shared" si="7"/>
        <v>58.588000000000001</v>
      </c>
      <c r="V12" s="165">
        <f t="shared" si="7"/>
        <v>58.588000000000001</v>
      </c>
      <c r="W12" s="165">
        <f t="shared" si="7"/>
        <v>58.588000000000001</v>
      </c>
      <c r="X12" s="165">
        <f t="shared" si="7"/>
        <v>58.588000000000001</v>
      </c>
      <c r="Y12" s="165">
        <f t="shared" si="7"/>
        <v>58.588000000000001</v>
      </c>
      <c r="Z12" s="165">
        <f t="shared" si="7"/>
        <v>58.588000000000001</v>
      </c>
      <c r="AA12" s="165">
        <f t="shared" si="7"/>
        <v>58.588000000000001</v>
      </c>
      <c r="AB12" s="165">
        <f t="shared" si="7"/>
        <v>58.588000000000001</v>
      </c>
      <c r="AC12" s="165">
        <f t="shared" si="7"/>
        <v>58.588000000000001</v>
      </c>
      <c r="AD12" s="165">
        <f t="shared" si="7"/>
        <v>58.588000000000001</v>
      </c>
      <c r="AE12" s="165">
        <f t="shared" si="7"/>
        <v>58.588000000000001</v>
      </c>
      <c r="AF12" s="165">
        <f t="shared" si="7"/>
        <v>58.588000000000001</v>
      </c>
      <c r="AG12" s="165">
        <f t="shared" si="7"/>
        <v>58.588000000000001</v>
      </c>
      <c r="AH12" s="165">
        <f t="shared" si="7"/>
        <v>58.588000000000001</v>
      </c>
      <c r="AI12" s="165">
        <f t="shared" si="7"/>
        <v>58.588000000000001</v>
      </c>
      <c r="AJ12" s="166">
        <f t="shared" si="7"/>
        <v>58.588000000000001</v>
      </c>
    </row>
    <row r="13" spans="1:36" x14ac:dyDescent="0.25">
      <c r="A13" s="221"/>
      <c r="B13" s="158" t="s">
        <v>96</v>
      </c>
      <c r="C13" s="224"/>
      <c r="D13" s="8" t="s">
        <v>85</v>
      </c>
      <c r="E13" s="26" t="s">
        <v>86</v>
      </c>
      <c r="F13" s="2">
        <f>[3]Network!$H$30</f>
        <v>2340</v>
      </c>
      <c r="G13" s="138">
        <f>F13</f>
        <v>2340</v>
      </c>
      <c r="H13" s="138">
        <f t="shared" ref="H13:AJ15" si="8">G13</f>
        <v>2340</v>
      </c>
      <c r="I13" s="138">
        <f t="shared" si="8"/>
        <v>2340</v>
      </c>
      <c r="J13" s="138">
        <f t="shared" si="8"/>
        <v>2340</v>
      </c>
      <c r="K13" s="138">
        <f t="shared" si="8"/>
        <v>2340</v>
      </c>
      <c r="L13" s="139">
        <f>F13*L12/F12</f>
        <v>2856.1650000000004</v>
      </c>
      <c r="M13" s="139">
        <f t="shared" si="8"/>
        <v>2856.1650000000004</v>
      </c>
      <c r="N13" s="139">
        <f t="shared" si="8"/>
        <v>2856.1650000000004</v>
      </c>
      <c r="O13" s="139">
        <f t="shared" si="8"/>
        <v>2856.1650000000004</v>
      </c>
      <c r="P13" s="139">
        <f t="shared" si="8"/>
        <v>2856.1650000000004</v>
      </c>
      <c r="Q13" s="139">
        <f t="shared" si="8"/>
        <v>2856.1650000000004</v>
      </c>
      <c r="R13" s="139">
        <f t="shared" si="8"/>
        <v>2856.1650000000004</v>
      </c>
      <c r="S13" s="139">
        <f t="shared" si="8"/>
        <v>2856.1650000000004</v>
      </c>
      <c r="T13" s="139">
        <f t="shared" si="8"/>
        <v>2856.1650000000004</v>
      </c>
      <c r="U13" s="139">
        <f t="shared" si="8"/>
        <v>2856.1650000000004</v>
      </c>
      <c r="V13" s="139">
        <f t="shared" si="8"/>
        <v>2856.1650000000004</v>
      </c>
      <c r="W13" s="139">
        <f t="shared" si="8"/>
        <v>2856.1650000000004</v>
      </c>
      <c r="X13" s="139">
        <f t="shared" si="8"/>
        <v>2856.1650000000004</v>
      </c>
      <c r="Y13" s="139">
        <f t="shared" si="8"/>
        <v>2856.1650000000004</v>
      </c>
      <c r="Z13" s="139">
        <f t="shared" si="8"/>
        <v>2856.1650000000004</v>
      </c>
      <c r="AA13" s="139">
        <f t="shared" si="8"/>
        <v>2856.1650000000004</v>
      </c>
      <c r="AB13" s="139">
        <f t="shared" si="8"/>
        <v>2856.1650000000004</v>
      </c>
      <c r="AC13" s="139">
        <f t="shared" si="8"/>
        <v>2856.1650000000004</v>
      </c>
      <c r="AD13" s="139">
        <f t="shared" si="8"/>
        <v>2856.1650000000004</v>
      </c>
      <c r="AE13" s="139">
        <f t="shared" si="8"/>
        <v>2856.1650000000004</v>
      </c>
      <c r="AF13" s="139">
        <f t="shared" si="8"/>
        <v>2856.1650000000004</v>
      </c>
      <c r="AG13" s="139">
        <f t="shared" si="8"/>
        <v>2856.1650000000004</v>
      </c>
      <c r="AH13" s="139">
        <f t="shared" si="8"/>
        <v>2856.1650000000004</v>
      </c>
      <c r="AI13" s="139">
        <f t="shared" si="8"/>
        <v>2856.1650000000004</v>
      </c>
      <c r="AJ13" s="140">
        <f t="shared" si="8"/>
        <v>2856.1650000000004</v>
      </c>
    </row>
    <row r="14" spans="1:36" x14ac:dyDescent="0.25">
      <c r="A14" s="221"/>
      <c r="B14" s="158" t="s">
        <v>94</v>
      </c>
      <c r="C14" s="224"/>
      <c r="D14" s="8" t="s">
        <v>87</v>
      </c>
      <c r="E14" s="26" t="s">
        <v>88</v>
      </c>
      <c r="F14" s="8">
        <f>[3]Pressure!$F$33</f>
        <v>35</v>
      </c>
      <c r="G14" s="48">
        <f>F14</f>
        <v>35</v>
      </c>
      <c r="H14" s="139">
        <f t="shared" si="8"/>
        <v>35</v>
      </c>
      <c r="I14" s="139">
        <f t="shared" si="8"/>
        <v>35</v>
      </c>
      <c r="J14" s="139">
        <f t="shared" si="8"/>
        <v>35</v>
      </c>
      <c r="K14" s="139">
        <f t="shared" si="8"/>
        <v>35</v>
      </c>
      <c r="L14" s="89">
        <f t="shared" si="8"/>
        <v>35</v>
      </c>
      <c r="M14" s="89">
        <f t="shared" si="8"/>
        <v>35</v>
      </c>
      <c r="N14" s="139">
        <f t="shared" si="8"/>
        <v>35</v>
      </c>
      <c r="O14" s="139">
        <f t="shared" si="8"/>
        <v>35</v>
      </c>
      <c r="P14" s="139">
        <f t="shared" si="8"/>
        <v>35</v>
      </c>
      <c r="Q14" s="139">
        <f t="shared" si="8"/>
        <v>35</v>
      </c>
      <c r="R14" s="139">
        <f t="shared" si="8"/>
        <v>35</v>
      </c>
      <c r="S14" s="139">
        <f t="shared" si="8"/>
        <v>35</v>
      </c>
      <c r="T14" s="139">
        <f t="shared" si="8"/>
        <v>35</v>
      </c>
      <c r="U14" s="139">
        <f t="shared" si="8"/>
        <v>35</v>
      </c>
      <c r="V14" s="139">
        <f t="shared" si="8"/>
        <v>35</v>
      </c>
      <c r="W14" s="139">
        <f t="shared" si="8"/>
        <v>35</v>
      </c>
      <c r="X14" s="139">
        <f t="shared" si="8"/>
        <v>35</v>
      </c>
      <c r="Y14" s="139">
        <f t="shared" si="8"/>
        <v>35</v>
      </c>
      <c r="Z14" s="139">
        <f t="shared" si="8"/>
        <v>35</v>
      </c>
      <c r="AA14" s="139">
        <f t="shared" si="8"/>
        <v>35</v>
      </c>
      <c r="AB14" s="139">
        <f t="shared" si="8"/>
        <v>35</v>
      </c>
      <c r="AC14" s="139">
        <f t="shared" si="8"/>
        <v>35</v>
      </c>
      <c r="AD14" s="139">
        <f t="shared" si="8"/>
        <v>35</v>
      </c>
      <c r="AE14" s="139">
        <f t="shared" si="8"/>
        <v>35</v>
      </c>
      <c r="AF14" s="139">
        <f t="shared" si="8"/>
        <v>35</v>
      </c>
      <c r="AG14" s="139">
        <f t="shared" si="8"/>
        <v>35</v>
      </c>
      <c r="AH14" s="139">
        <f t="shared" si="8"/>
        <v>35</v>
      </c>
      <c r="AI14" s="139">
        <f t="shared" si="8"/>
        <v>35</v>
      </c>
      <c r="AJ14" s="140">
        <f t="shared" si="8"/>
        <v>35</v>
      </c>
    </row>
    <row r="15" spans="1:36" ht="15.75" thickBot="1" x14ac:dyDescent="0.3">
      <c r="A15" s="222"/>
      <c r="B15" s="162" t="s">
        <v>95</v>
      </c>
      <c r="C15" s="225"/>
      <c r="D15" s="43" t="s">
        <v>89</v>
      </c>
      <c r="E15" s="25" t="s">
        <v>90</v>
      </c>
      <c r="F15" s="43">
        <v>0</v>
      </c>
      <c r="G15" s="142">
        <f>F15</f>
        <v>0</v>
      </c>
      <c r="H15" s="142">
        <f t="shared" si="8"/>
        <v>0</v>
      </c>
      <c r="I15" s="142">
        <f t="shared" si="8"/>
        <v>0</v>
      </c>
      <c r="J15" s="142">
        <f t="shared" si="8"/>
        <v>0</v>
      </c>
      <c r="K15" s="142">
        <f t="shared" si="8"/>
        <v>0</v>
      </c>
      <c r="L15" s="142">
        <f t="shared" si="8"/>
        <v>0</v>
      </c>
      <c r="M15" s="142">
        <f t="shared" si="8"/>
        <v>0</v>
      </c>
      <c r="N15" s="142">
        <f t="shared" si="8"/>
        <v>0</v>
      </c>
      <c r="O15" s="142">
        <f t="shared" si="8"/>
        <v>0</v>
      </c>
      <c r="P15" s="142">
        <f t="shared" si="8"/>
        <v>0</v>
      </c>
      <c r="Q15" s="142">
        <f t="shared" si="8"/>
        <v>0</v>
      </c>
      <c r="R15" s="142">
        <f t="shared" si="8"/>
        <v>0</v>
      </c>
      <c r="S15" s="142">
        <f t="shared" si="8"/>
        <v>0</v>
      </c>
      <c r="T15" s="142">
        <f t="shared" si="8"/>
        <v>0</v>
      </c>
      <c r="U15" s="142">
        <f t="shared" si="8"/>
        <v>0</v>
      </c>
      <c r="V15" s="142">
        <f t="shared" si="8"/>
        <v>0</v>
      </c>
      <c r="W15" s="142">
        <f t="shared" si="8"/>
        <v>0</v>
      </c>
      <c r="X15" s="142">
        <f t="shared" si="8"/>
        <v>0</v>
      </c>
      <c r="Y15" s="142">
        <f t="shared" si="8"/>
        <v>0</v>
      </c>
      <c r="Z15" s="142">
        <f t="shared" si="8"/>
        <v>0</v>
      </c>
      <c r="AA15" s="142">
        <f t="shared" si="8"/>
        <v>0</v>
      </c>
      <c r="AB15" s="142">
        <f t="shared" si="8"/>
        <v>0</v>
      </c>
      <c r="AC15" s="142">
        <f t="shared" si="8"/>
        <v>0</v>
      </c>
      <c r="AD15" s="142">
        <f t="shared" si="8"/>
        <v>0</v>
      </c>
      <c r="AE15" s="142">
        <f t="shared" si="8"/>
        <v>0</v>
      </c>
      <c r="AF15" s="142">
        <f t="shared" si="8"/>
        <v>0</v>
      </c>
      <c r="AG15" s="142">
        <f t="shared" si="8"/>
        <v>0</v>
      </c>
      <c r="AH15" s="142">
        <f t="shared" si="8"/>
        <v>0</v>
      </c>
      <c r="AI15" s="142">
        <f t="shared" si="8"/>
        <v>0</v>
      </c>
      <c r="AJ15" s="142">
        <f t="shared" si="8"/>
        <v>0</v>
      </c>
    </row>
    <row r="17" spans="3:12" x14ac:dyDescent="0.25">
      <c r="C17" s="134"/>
      <c r="E17"/>
    </row>
    <row r="21" spans="3:12" x14ac:dyDescent="0.25">
      <c r="L21" t="s">
        <v>101</v>
      </c>
    </row>
  </sheetData>
  <mergeCells count="5">
    <mergeCell ref="C3:C11"/>
    <mergeCell ref="A2:A15"/>
    <mergeCell ref="B2:D2"/>
    <mergeCell ref="C12:C15"/>
    <mergeCell ref="B1:AJ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7030A0"/>
  </sheetPr>
  <dimension ref="A2:AP12"/>
  <sheetViews>
    <sheetView workbookViewId="0">
      <selection activeCell="F24" sqref="F24"/>
    </sheetView>
  </sheetViews>
  <sheetFormatPr defaultRowHeight="15" x14ac:dyDescent="0.25"/>
  <cols>
    <col min="1" max="1" width="47.140625" bestFit="1" customWidth="1"/>
    <col min="3" max="3" width="11.7109375" bestFit="1" customWidth="1"/>
  </cols>
  <sheetData>
    <row r="2" spans="1:42" x14ac:dyDescent="0.25">
      <c r="A2" s="71" t="s">
        <v>36</v>
      </c>
    </row>
    <row r="4" spans="1:42" x14ac:dyDescent="0.25">
      <c r="C4" s="72">
        <v>2014</v>
      </c>
      <c r="D4" s="72">
        <v>2015</v>
      </c>
      <c r="E4" s="72">
        <v>2016</v>
      </c>
      <c r="F4" s="72">
        <v>2017</v>
      </c>
      <c r="G4" s="72">
        <v>2018</v>
      </c>
      <c r="H4" s="72">
        <v>2019</v>
      </c>
      <c r="I4" s="72">
        <v>2020</v>
      </c>
      <c r="J4" s="72">
        <v>2021</v>
      </c>
      <c r="K4" s="72">
        <v>2022</v>
      </c>
      <c r="L4" s="72">
        <v>2023</v>
      </c>
      <c r="M4" s="72">
        <v>2024</v>
      </c>
      <c r="N4" s="72">
        <v>2025</v>
      </c>
      <c r="O4" s="72">
        <v>2026</v>
      </c>
      <c r="P4" s="72">
        <v>2027</v>
      </c>
      <c r="Q4" s="72">
        <v>2028</v>
      </c>
      <c r="R4" s="72">
        <v>2029</v>
      </c>
      <c r="S4" s="72">
        <v>2030</v>
      </c>
      <c r="T4" s="72">
        <v>2031</v>
      </c>
      <c r="U4" s="72">
        <v>2032</v>
      </c>
      <c r="V4" s="72">
        <v>2033</v>
      </c>
      <c r="W4" s="72">
        <v>2034</v>
      </c>
      <c r="X4" s="72">
        <v>2035</v>
      </c>
      <c r="Y4" s="72">
        <v>2036</v>
      </c>
      <c r="Z4" s="72">
        <v>2037</v>
      </c>
      <c r="AA4" s="72">
        <v>2038</v>
      </c>
      <c r="AB4" s="72">
        <v>2039</v>
      </c>
      <c r="AC4" s="72">
        <v>2040</v>
      </c>
      <c r="AD4" s="72">
        <v>2041</v>
      </c>
      <c r="AE4" s="72">
        <v>2042</v>
      </c>
      <c r="AF4" s="72">
        <v>2043</v>
      </c>
      <c r="AG4" s="72">
        <v>2044</v>
      </c>
      <c r="AH4" s="72">
        <v>2045</v>
      </c>
      <c r="AI4" s="72">
        <v>2046</v>
      </c>
      <c r="AJ4" s="72">
        <v>2047</v>
      </c>
      <c r="AK4" s="72">
        <v>2048</v>
      </c>
      <c r="AL4" s="72">
        <v>2049</v>
      </c>
      <c r="AM4" s="72">
        <v>2050</v>
      </c>
    </row>
    <row r="5" spans="1:42" s="73" customFormat="1" ht="14.25" customHeight="1" x14ac:dyDescent="0.2">
      <c r="A5" s="73" t="s">
        <v>37</v>
      </c>
      <c r="B5" s="74" t="s">
        <v>2</v>
      </c>
      <c r="C5" s="75">
        <v>3.1E-2</v>
      </c>
      <c r="D5" s="75">
        <v>3.7999999999999999E-2</v>
      </c>
      <c r="E5" s="75">
        <v>4.8000000000000001E-2</v>
      </c>
      <c r="F5" s="75">
        <v>7.0000000000000007E-2</v>
      </c>
      <c r="G5" s="75">
        <v>4.1000000000000002E-2</v>
      </c>
      <c r="H5" s="75">
        <v>5.5E-2</v>
      </c>
      <c r="I5" s="75">
        <v>5.7000000000000002E-2</v>
      </c>
      <c r="J5" s="76">
        <v>0.05</v>
      </c>
      <c r="K5" s="76">
        <v>0.05</v>
      </c>
      <c r="L5" s="75">
        <v>3.5000000000000003E-2</v>
      </c>
      <c r="M5" s="75">
        <f t="shared" ref="M5:AM5" si="0">L5</f>
        <v>3.5000000000000003E-2</v>
      </c>
      <c r="N5" s="75">
        <f t="shared" si="0"/>
        <v>3.5000000000000003E-2</v>
      </c>
      <c r="O5" s="75">
        <f t="shared" si="0"/>
        <v>3.5000000000000003E-2</v>
      </c>
      <c r="P5" s="75">
        <f t="shared" si="0"/>
        <v>3.5000000000000003E-2</v>
      </c>
      <c r="Q5" s="75">
        <f t="shared" si="0"/>
        <v>3.5000000000000003E-2</v>
      </c>
      <c r="R5" s="75">
        <f t="shared" si="0"/>
        <v>3.5000000000000003E-2</v>
      </c>
      <c r="S5" s="75">
        <f t="shared" si="0"/>
        <v>3.5000000000000003E-2</v>
      </c>
      <c r="T5" s="75">
        <f t="shared" si="0"/>
        <v>3.5000000000000003E-2</v>
      </c>
      <c r="U5" s="75">
        <f t="shared" si="0"/>
        <v>3.5000000000000003E-2</v>
      </c>
      <c r="V5" s="75">
        <f t="shared" si="0"/>
        <v>3.5000000000000003E-2</v>
      </c>
      <c r="W5" s="75">
        <f t="shared" si="0"/>
        <v>3.5000000000000003E-2</v>
      </c>
      <c r="X5" s="75">
        <f t="shared" si="0"/>
        <v>3.5000000000000003E-2</v>
      </c>
      <c r="Y5" s="75">
        <f t="shared" si="0"/>
        <v>3.5000000000000003E-2</v>
      </c>
      <c r="Z5" s="75">
        <f t="shared" si="0"/>
        <v>3.5000000000000003E-2</v>
      </c>
      <c r="AA5" s="75">
        <f t="shared" si="0"/>
        <v>3.5000000000000003E-2</v>
      </c>
      <c r="AB5" s="75">
        <f t="shared" si="0"/>
        <v>3.5000000000000003E-2</v>
      </c>
      <c r="AC5" s="75">
        <f t="shared" si="0"/>
        <v>3.5000000000000003E-2</v>
      </c>
      <c r="AD5" s="75">
        <f t="shared" si="0"/>
        <v>3.5000000000000003E-2</v>
      </c>
      <c r="AE5" s="75">
        <f t="shared" si="0"/>
        <v>3.5000000000000003E-2</v>
      </c>
      <c r="AF5" s="75">
        <f t="shared" si="0"/>
        <v>3.5000000000000003E-2</v>
      </c>
      <c r="AG5" s="75">
        <f t="shared" si="0"/>
        <v>3.5000000000000003E-2</v>
      </c>
      <c r="AH5" s="75">
        <f t="shared" si="0"/>
        <v>3.5000000000000003E-2</v>
      </c>
      <c r="AI5" s="75">
        <f t="shared" si="0"/>
        <v>3.5000000000000003E-2</v>
      </c>
      <c r="AJ5" s="75">
        <f t="shared" si="0"/>
        <v>3.5000000000000003E-2</v>
      </c>
      <c r="AK5" s="75">
        <f t="shared" si="0"/>
        <v>3.5000000000000003E-2</v>
      </c>
      <c r="AL5" s="75">
        <f t="shared" si="0"/>
        <v>3.5000000000000003E-2</v>
      </c>
      <c r="AM5" s="75">
        <f t="shared" si="0"/>
        <v>3.5000000000000003E-2</v>
      </c>
      <c r="AN5" s="75">
        <f>AM5</f>
        <v>3.5000000000000003E-2</v>
      </c>
      <c r="AO5" s="75">
        <f>AN5</f>
        <v>3.5000000000000003E-2</v>
      </c>
      <c r="AP5" s="75">
        <f>AO5</f>
        <v>3.5000000000000003E-2</v>
      </c>
    </row>
    <row r="7" spans="1:42" x14ac:dyDescent="0.25">
      <c r="A7" s="77" t="s">
        <v>38</v>
      </c>
      <c r="B7" s="78" t="s">
        <v>29</v>
      </c>
      <c r="C7" s="79">
        <v>0.25</v>
      </c>
    </row>
    <row r="8" spans="1:42" x14ac:dyDescent="0.25">
      <c r="A8" s="77" t="s">
        <v>39</v>
      </c>
      <c r="B8" s="78" t="s">
        <v>29</v>
      </c>
      <c r="C8" s="79">
        <v>-0.2</v>
      </c>
    </row>
    <row r="10" spans="1:42" x14ac:dyDescent="0.25">
      <c r="A10" s="80" t="s">
        <v>40</v>
      </c>
      <c r="B10" s="81" t="s">
        <v>41</v>
      </c>
      <c r="E10" s="80">
        <v>-2.5104961354764695E-2</v>
      </c>
      <c r="F10" s="80">
        <v>1.8285087719298227E-2</v>
      </c>
      <c r="G10" s="80">
        <v>1.8285087719298227E-2</v>
      </c>
      <c r="H10" s="80">
        <v>-7.4898921832884362E-3</v>
      </c>
      <c r="I10" s="80">
        <v>-1.9749999999999997E-2</v>
      </c>
      <c r="J10" s="80">
        <v>-1.5749999999999965E-2</v>
      </c>
      <c r="K10" s="80">
        <v>-1.7499999999999988E-2</v>
      </c>
      <c r="L10" s="80">
        <v>-3.585E-2</v>
      </c>
      <c r="M10" s="80">
        <v>2.3391968727789463E-3</v>
      </c>
      <c r="N10" s="80">
        <v>3.3843743543833056E-3</v>
      </c>
      <c r="O10" s="80">
        <v>4.4774673497167215E-3</v>
      </c>
      <c r="P10" s="80">
        <v>4.7499999999999834E-3</v>
      </c>
      <c r="Q10" s="80">
        <v>4.3499999999999962E-3</v>
      </c>
      <c r="R10" s="80">
        <v>4.3500000000000179E-3</v>
      </c>
      <c r="S10" s="80">
        <v>4.1500000000000183E-3</v>
      </c>
      <c r="T10" s="80">
        <v>3.9499999999999978E-3</v>
      </c>
      <c r="U10" s="80">
        <v>3.9499999999999926E-3</v>
      </c>
      <c r="V10" s="80">
        <v>3.9500000000000013E-3</v>
      </c>
      <c r="W10" s="80">
        <v>3.9499999999999856E-3</v>
      </c>
      <c r="X10" s="80">
        <v>3.9500000000000151E-3</v>
      </c>
      <c r="Y10" s="80">
        <v>3.9500000000000013E-3</v>
      </c>
      <c r="Z10" s="80">
        <v>3.9499999999999969E-3</v>
      </c>
      <c r="AA10" s="80">
        <v>3.9499999999999856E-3</v>
      </c>
      <c r="AB10" s="80">
        <v>3.950000000000016E-3</v>
      </c>
      <c r="AC10" s="80">
        <v>3.950000000000003E-3</v>
      </c>
      <c r="AD10" s="80">
        <v>3.9499999999999891E-3</v>
      </c>
      <c r="AE10" s="80">
        <v>3.94999999999999E-3</v>
      </c>
      <c r="AF10" s="80">
        <v>3.9499999999999969E-3</v>
      </c>
      <c r="AG10" s="80">
        <v>3.9499999999999735E-3</v>
      </c>
      <c r="AH10" s="80">
        <v>3.9500000000000056E-3</v>
      </c>
      <c r="AI10" s="80">
        <v>3.950000000000016E-3</v>
      </c>
      <c r="AJ10" s="80">
        <v>3.9499999999999778E-3</v>
      </c>
      <c r="AK10" s="80">
        <v>3.7500000000000267E-3</v>
      </c>
      <c r="AL10" s="80">
        <v>3.7500000000000189E-3</v>
      </c>
      <c r="AM10" s="80">
        <v>3.7499999999999964E-3</v>
      </c>
      <c r="AN10" s="80">
        <v>3.7500000000000103E-3</v>
      </c>
      <c r="AO10" s="80">
        <v>3.7500000000000181E-3</v>
      </c>
      <c r="AP10" s="80">
        <v>3.7500000000000198E-3</v>
      </c>
    </row>
    <row r="11" spans="1:42" x14ac:dyDescent="0.25">
      <c r="A11" s="80" t="s">
        <v>42</v>
      </c>
      <c r="B11" s="81" t="s">
        <v>41</v>
      </c>
      <c r="E11" s="80">
        <v>9.2797190648075019E-3</v>
      </c>
      <c r="F11" s="80">
        <v>1.7500000000000002E-2</v>
      </c>
      <c r="G11" s="80">
        <v>1.025E-2</v>
      </c>
      <c r="H11" s="80">
        <v>1.375E-2</v>
      </c>
      <c r="I11" s="80">
        <v>-1.4987569060773498E-2</v>
      </c>
      <c r="J11" s="80">
        <v>3.7611587775956846E-3</v>
      </c>
      <c r="K11" s="80">
        <v>-1.9394797824544816E-2</v>
      </c>
      <c r="L11" s="80">
        <v>-1.7223253809003063E-3</v>
      </c>
      <c r="M11" s="80">
        <v>6.1307330025708179E-4</v>
      </c>
      <c r="N11" s="80">
        <v>2.8775132503987078E-3</v>
      </c>
      <c r="O11" s="80">
        <v>2.8767615925469198E-3</v>
      </c>
      <c r="P11" s="80">
        <v>2.8760104694924207E-3</v>
      </c>
      <c r="Q11" s="80">
        <v>2.6346024005419006E-3</v>
      </c>
      <c r="R11" s="80">
        <v>2.874604369193459E-3</v>
      </c>
      <c r="S11" s="80">
        <v>2.9548185143011057E-3</v>
      </c>
      <c r="T11" s="80">
        <v>2.9536477362340939E-3</v>
      </c>
      <c r="U11" s="80">
        <v>2.9927258599121362E-3</v>
      </c>
      <c r="V11" s="80">
        <v>2.9511923724975494E-3</v>
      </c>
      <c r="W11" s="80">
        <v>2.9900275364279751E-3</v>
      </c>
      <c r="X11" s="80">
        <v>2.9646916362897173E-3</v>
      </c>
      <c r="Y11" s="80">
        <v>2.8475303229748708E-3</v>
      </c>
      <c r="Z11" s="80">
        <v>2.8860038661907769E-3</v>
      </c>
      <c r="AA11" s="80">
        <v>2.8687940260822848E-3</v>
      </c>
      <c r="AB11" s="80">
        <v>2.8674897145493424E-3</v>
      </c>
      <c r="AC11" s="80">
        <v>2.881891991914149E-3</v>
      </c>
      <c r="AD11" s="80">
        <v>2.9196258515748683E-3</v>
      </c>
      <c r="AE11" s="80">
        <v>2.8789628001218296E-3</v>
      </c>
      <c r="AF11" s="80">
        <v>2.7542428895536934E-3</v>
      </c>
      <c r="AG11" s="80">
        <v>2.7529952896274109E-3</v>
      </c>
      <c r="AH11" s="80">
        <v>2.7981047731426316E-3</v>
      </c>
      <c r="AI11" s="80">
        <v>2.7734581336559478E-3</v>
      </c>
      <c r="AJ11" s="80">
        <v>2.6336975099284215E-3</v>
      </c>
      <c r="AK11" s="80">
        <v>2.4942952042315064E-3</v>
      </c>
      <c r="AL11" s="80">
        <v>2.4170636782110556E-3</v>
      </c>
      <c r="AM11" s="80">
        <v>2.4698039769544084E-3</v>
      </c>
      <c r="AN11" s="80">
        <v>2.4689974974174932E-3</v>
      </c>
      <c r="AO11" s="80">
        <v>2.4530398168024657E-3</v>
      </c>
      <c r="AP11" s="80">
        <v>2.5776562784975057E-3</v>
      </c>
    </row>
    <row r="12" spans="1:42" x14ac:dyDescent="0.25">
      <c r="A12" s="80" t="s">
        <v>43</v>
      </c>
      <c r="B12" s="81" t="s">
        <v>41</v>
      </c>
      <c r="E12" s="80">
        <v>2.1206932099590309E-3</v>
      </c>
      <c r="F12" s="80">
        <v>1.0749999999999989E-2</v>
      </c>
      <c r="G12" s="80">
        <v>1.1249999999999989E-2</v>
      </c>
      <c r="H12" s="80">
        <v>-2.4999999999999328E-4</v>
      </c>
      <c r="I12" s="80">
        <v>-2.7000000000000079E-3</v>
      </c>
      <c r="J12" s="80">
        <v>1.8000000000000099E-3</v>
      </c>
      <c r="K12" s="80">
        <v>-2.3249999999999979E-2</v>
      </c>
      <c r="L12" s="80">
        <v>-3.0899999999999886E-3</v>
      </c>
      <c r="M12" s="80">
        <v>4.950000000000029E-3</v>
      </c>
      <c r="N12" s="80">
        <v>4.9500000000000169E-3</v>
      </c>
      <c r="O12" s="80">
        <v>4.9300000000000038E-3</v>
      </c>
      <c r="P12" s="80">
        <v>4.9500000000000256E-3</v>
      </c>
      <c r="Q12" s="80">
        <v>4.9500000000000308E-3</v>
      </c>
      <c r="R12" s="80">
        <v>4.9500000000000065E-3</v>
      </c>
      <c r="S12" s="80">
        <v>4.9500000000000247E-3</v>
      </c>
      <c r="T12" s="80">
        <v>4.9300000000000246E-3</v>
      </c>
      <c r="U12" s="80">
        <v>4.9099999999999769E-3</v>
      </c>
      <c r="V12" s="80">
        <v>4.8499999999999906E-3</v>
      </c>
      <c r="W12" s="80">
        <v>4.5500000000000254E-3</v>
      </c>
      <c r="X12" s="80">
        <v>4.4500000000000043E-3</v>
      </c>
      <c r="Y12" s="80">
        <v>4.2500000000000029E-3</v>
      </c>
      <c r="Z12" s="80">
        <v>3.9499999999999995E-3</v>
      </c>
      <c r="AA12" s="80">
        <v>3.7500000000000181E-3</v>
      </c>
      <c r="AB12" s="80">
        <v>3.7500000000000294E-3</v>
      </c>
      <c r="AC12" s="80">
        <v>3.5499999999999803E-3</v>
      </c>
      <c r="AD12" s="80">
        <v>3.5499999999999933E-3</v>
      </c>
      <c r="AE12" s="80">
        <v>3.3500000000000196E-3</v>
      </c>
      <c r="AF12" s="80">
        <v>3.2499999999999751E-3</v>
      </c>
      <c r="AG12" s="80">
        <v>3.249999999999976E-3</v>
      </c>
      <c r="AH12" s="80">
        <v>2.9500000000000012E-3</v>
      </c>
      <c r="AI12" s="80">
        <v>2.7499999999999886E-3</v>
      </c>
      <c r="AJ12" s="80">
        <v>2.350000000000004E-3</v>
      </c>
      <c r="AK12" s="80">
        <v>1.750000000000018E-3</v>
      </c>
      <c r="AL12" s="80">
        <v>9.5000000000000813E-4</v>
      </c>
      <c r="AM12" s="80">
        <v>1.3500000000000014E-3</v>
      </c>
      <c r="AN12" s="80">
        <v>1.3500000000000014E-3</v>
      </c>
      <c r="AO12" s="80">
        <v>1.32E-3</v>
      </c>
      <c r="AP12" s="80">
        <v>1.3699999999999999E-3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>
      <selection activeCell="H35" sqref="H35"/>
    </sheetView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202703EF26E6D4E977A1588C092D7CF" ma:contentTypeVersion="8" ma:contentTypeDescription="Create a new document." ma:contentTypeScope="" ma:versionID="5c3bf62fb088b932dfe711672233914c">
  <xsd:schema xmlns:xsd="http://www.w3.org/2001/XMLSchema" xmlns:xs="http://www.w3.org/2001/XMLSchema" xmlns:p="http://schemas.microsoft.com/office/2006/metadata/properties" xmlns:ns2="65f635d2-82ea-4d78-897f-ada8f4f641e5" targetNamespace="http://schemas.microsoft.com/office/2006/metadata/properties" ma:root="true" ma:fieldsID="6f3f24496ff13eaba71698c08ebaad7c" ns2:_="">
    <xsd:import namespace="65f635d2-82ea-4d78-897f-ada8f4f641e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f635d2-82ea-4d78-897f-ada8f4f641e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9B00817-2DCA-4C2D-B0B7-E0D4ADCE8D17}"/>
</file>

<file path=customXml/itemProps2.xml><?xml version="1.0" encoding="utf-8"?>
<ds:datastoreItem xmlns:ds="http://schemas.openxmlformats.org/officeDocument/2006/customXml" ds:itemID="{B5E5C3A1-2692-45D2-B6E3-04AA78D63172}"/>
</file>

<file path=customXml/itemProps3.xml><?xml version="1.0" encoding="utf-8"?>
<ds:datastoreItem xmlns:ds="http://schemas.openxmlformats.org/officeDocument/2006/customXml" ds:itemID="{C6EDDE3C-A8E4-406A-86F3-81F69D0F21D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Prognoza Apa</vt:lpstr>
      <vt:lpstr>Prognoza BA</vt:lpstr>
      <vt:lpstr>IP</vt:lpstr>
      <vt:lpstr>PIB + FE</vt:lpstr>
      <vt:lpstr>Foaie1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Aldea</dc:creator>
  <cp:lastModifiedBy>Aldea Alexandru</cp:lastModifiedBy>
  <dcterms:created xsi:type="dcterms:W3CDTF">2012-04-17T10:41:51Z</dcterms:created>
  <dcterms:modified xsi:type="dcterms:W3CDTF">2020-04-27T05:55:05Z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0x010100C202703EF26E6D4E977A1588C092D7CF</vt:lpwstr>
  </property>
</Properties>
</file>