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xandra.savin\Desktop\"/>
    </mc:Choice>
  </mc:AlternateContent>
  <xr:revisionPtr revIDLastSave="0" documentId="8_{8EFB5B58-C1F1-47F2-8EE6-7EB6409E05F5}" xr6:coauthVersionLast="44" xr6:coauthVersionMax="44" xr10:uidLastSave="{00000000-0000-0000-0000-000000000000}"/>
  <bookViews>
    <workbookView xWindow="2490" yWindow="1290" windowWidth="23325" windowHeight="15165" tabRatio="889" xr2:uid="{00000000-000D-0000-FFFF-FFFF00000000}"/>
  </bookViews>
  <sheets>
    <sheet name="ANALIZA OPTIUNI" sheetId="20" r:id="rId1"/>
    <sheet name="INVESTITII CANAL" sheetId="21" r:id="rId2"/>
    <sheet name="COND CANAL H=1-6 m" sheetId="10" r:id="rId3"/>
    <sheet name="COND CANAL H=1.5M" sheetId="3" state="hidden" r:id="rId4"/>
    <sheet name="COND CANAL H=2" sheetId="4" state="hidden" r:id="rId5"/>
    <sheet name="COND CANAL H=2.5" sheetId="5" state="hidden" r:id="rId6"/>
    <sheet name="COND CANAL H=3" sheetId="6" state="hidden" r:id="rId7"/>
    <sheet name="COND CANAL H=4" sheetId="7" state="hidden" r:id="rId8"/>
    <sheet name="COND CANAL H=5" sheetId="8" state="hidden" r:id="rId9"/>
    <sheet name="COND CANAL H=6" sheetId="9" state="hidden" r:id="rId10"/>
    <sheet name="COND REF" sheetId="18" r:id="rId11"/>
    <sheet name="Reab CIPP lining" sheetId="17" r:id="rId12"/>
    <sheet name="SPAU" sheetId="14" state="hidden" r:id="rId13"/>
    <sheet name="SPAU_DB" sheetId="42" r:id="rId14"/>
    <sheet name="Racord" sheetId="11" r:id="rId15"/>
    <sheet name="Subtraversari" sheetId="15" r:id="rId16"/>
    <sheet name="Generator" sheetId="16" r:id="rId17"/>
    <sheet name="Volume de apa" sheetId="25" r:id="rId18"/>
    <sheet name="Personal exploatare" sheetId="22" r:id="rId19"/>
    <sheet name="Cheltuieli energie" sheetId="24" r:id="rId20"/>
    <sheet name="Cheltuieli materiale" sheetId="23" r:id="rId21"/>
    <sheet name="Desfacere-refacere" sheetId="12" r:id="rId22"/>
    <sheet name="SEAU_Belin" sheetId="45" r:id="rId23"/>
    <sheet name="EE_Belin" sheetId="46" r:id="rId24"/>
    <sheet name="Echip.tehn_Belin" sheetId="47" r:id="rId25"/>
    <sheet name="Reactivi_Belin" sheetId="48" r:id="rId26"/>
  </sheets>
  <externalReferences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_2">#REF!</definedName>
    <definedName name="Armoire">#REF!</definedName>
    <definedName name="average_t_design">'[1]V1-Data'!#REF!</definedName>
    <definedName name="BàB_chantier">#REF!</definedName>
    <definedName name="BàB_MdO">#REF!</definedName>
    <definedName name="Barco">#REF!</definedName>
    <definedName name="Bouton19_QuandClic">[2]!Bouton19_QuandClic</definedName>
    <definedName name="Bureautique">#REF!</definedName>
    <definedName name="_xlnm.Criteria">#REF!</definedName>
    <definedName name="CSB_Fracht_ZB">#REF!</definedName>
    <definedName name="Curs_Euro">'[3]4_deviz obiecte'!$N$6</definedName>
    <definedName name="Curs_euro_CL10">[4]CL2_Liste!$F$2</definedName>
    <definedName name="_xlnm.Database">#REF!</definedName>
    <definedName name="dec">#REF!</definedName>
    <definedName name="dfdd">#REF!</definedName>
    <definedName name="Divers">#REF!</definedName>
    <definedName name="dm">'[5]Baza calcul'!#REF!</definedName>
    <definedName name="EANA">#REF!</definedName>
    <definedName name="ETOR">#REF!</definedName>
    <definedName name="EV">#REF!</definedName>
    <definedName name="evaluare">#REF!</definedName>
    <definedName name="evaluare2">#REF!</definedName>
    <definedName name="Gros_package">#REF!</definedName>
    <definedName name="gustl">#REF!</definedName>
    <definedName name="IC_Caract">#REF!</definedName>
    <definedName name="IC_Puissance">#REF!</definedName>
    <definedName name="IE_E.S">#REF!</definedName>
    <definedName name="IE_Numéro">#REF!</definedName>
    <definedName name="IE_type">#REF!</definedName>
    <definedName name="ilfov">#REF!</definedName>
    <definedName name="Indice_inflatie">'[6]Deviz UAT Branesti curent'!$N$5</definedName>
    <definedName name="Lang">[7]Variables!$D$31</definedName>
    <definedName name="Long_base">#REF!</definedName>
    <definedName name="M_démarreur">#REF!</definedName>
    <definedName name="M_direct">#REF!</definedName>
    <definedName name="M_variateur">#REF!</definedName>
    <definedName name="Mimic_panel">#REF!</definedName>
    <definedName name="Nb_E_S_total">#REF!</definedName>
    <definedName name="numéro1">#REF!</definedName>
    <definedName name="numéro10">#REF!</definedName>
    <definedName name="numéro11">#REF!</definedName>
    <definedName name="numéro12">#REF!</definedName>
    <definedName name="numéro13">#REF!</definedName>
    <definedName name="numéro14">#REF!</definedName>
    <definedName name="numéro15">#REF!</definedName>
    <definedName name="numéro16">#REF!</definedName>
    <definedName name="numéro17">#REF!</definedName>
    <definedName name="numéro18">#REF!</definedName>
    <definedName name="numéro19">#REF!</definedName>
    <definedName name="numéro2">#REF!</definedName>
    <definedName name="numéro20">#REF!</definedName>
    <definedName name="numéro21">#REF!</definedName>
    <definedName name="numéro22">#REF!</definedName>
    <definedName name="numéro3">#REF!</definedName>
    <definedName name="numéro4">#REF!</definedName>
    <definedName name="numéro5">#REF!</definedName>
    <definedName name="numéro6">#REF!</definedName>
    <definedName name="numéro7">#REF!</definedName>
    <definedName name="numéro8">#REF!</definedName>
    <definedName name="numéro9">#REF!</definedName>
    <definedName name="pant_size">'[8]V1-Data'!$E$6</definedName>
    <definedName name="Part_fixe_MCR">#REF!</definedName>
    <definedName name="Petit_package">#REF!</definedName>
    <definedName name="_xlnm.Print_Area" localSheetId="2">'COND CANAL H=1-6 m'!$A$1:$Z$26</definedName>
    <definedName name="_xlnm.Print_Area" localSheetId="21">'Desfacere-refacere'!$A$1:$H$29</definedName>
    <definedName name="_xlnm.Print_Area" localSheetId="24">Echip.tehn_Belin!$A$1:$H$88</definedName>
    <definedName name="_xlnm.Print_Area" localSheetId="23">EE_Belin!$A$1:$K$67</definedName>
    <definedName name="_xlnm.Print_Area" localSheetId="1">'INVESTITII CANAL'!$A$1:$H$44</definedName>
    <definedName name="_xlnm.Print_Area" localSheetId="14">Racord!$A$1:$J$9</definedName>
    <definedName name="_xlnm.Print_Area" localSheetId="25">Reactivi_Belin!$A$1:$I$27</definedName>
    <definedName name="_xlnm.Print_Area" localSheetId="22">SEAU_Belin!$A$1:$F$39</definedName>
    <definedName name="_xlnm.Print_Titles" localSheetId="3">'COND CANAL H=1.5M'!$1:$7</definedName>
    <definedName name="_xlnm.Print_Titles" localSheetId="2">'COND CANAL H=1-6 m'!$1:$7</definedName>
    <definedName name="_xlnm.Print_Titles" localSheetId="4">'COND CANAL H=2'!$1:$7</definedName>
    <definedName name="_xlnm.Print_Titles" localSheetId="5">'COND CANAL H=2.5'!$1:$7</definedName>
    <definedName name="_xlnm.Print_Titles" localSheetId="6">'COND CANAL H=3'!$1:$7</definedName>
    <definedName name="_xlnm.Print_Titles" localSheetId="7">'COND CANAL H=4'!$1:$7</definedName>
    <definedName name="_xlnm.Print_Titles" localSheetId="8">'COND CANAL H=5'!$1:$7</definedName>
    <definedName name="_xlnm.Print_Titles" localSheetId="9">'COND CANAL H=6'!$1:$7</definedName>
    <definedName name="_xlnm.Print_Titles" localSheetId="13">SPAU_DB!#REF!</definedName>
    <definedName name="Prix_E_S" localSheetId="13">#REF!</definedName>
    <definedName name="Prix_E_S">#REF!</definedName>
    <definedName name="Qd__WW" localSheetId="13">'[1]V1-Data'!#REF!</definedName>
    <definedName name="Qd__WW">'[1]V1-Data'!#REF!</definedName>
    <definedName name="Qd_24__WW" localSheetId="13">'[1]V1-Data'!#REF!</definedName>
    <definedName name="Qd_24__WW">'[1]V1-Data'!#REF!</definedName>
    <definedName name="Qmin" localSheetId="13">#REF!</definedName>
    <definedName name="Qmin">#REF!</definedName>
    <definedName name="QProW">#REF!</definedName>
    <definedName name="Ratio_API_GMAO">#REF!</definedName>
    <definedName name="Ratio_API_Sup">#REF!</definedName>
    <definedName name="Ratio_chantier\BàB_MCR">#REF!</definedName>
    <definedName name="Ratio_chantier\MCC">#REF!</definedName>
    <definedName name="Réseau">#REF!</definedName>
    <definedName name="RéserveAPI">#REF!</definedName>
    <definedName name="SANA">#REF!</definedName>
    <definedName name="SCSB_abb_Ablauf_VKB">#REF!</definedName>
    <definedName name="SCSB_inert_Ablauf_VKB">#REF!</definedName>
    <definedName name="SPAU_DB1">'[1]V1-Data'!#REF!</definedName>
    <definedName name="STOR">#REF!</definedName>
    <definedName name="TVA">'[3]4_deviz obiecte'!$U$6</definedName>
    <definedName name="UPS">#REF!</definedName>
    <definedName name="Vanne_motorisée">#REF!</definedName>
    <definedName name="Vanne_pneu">#REF!</definedName>
    <definedName name="Vanne_régul">#REF!</definedName>
    <definedName name="x">#REF!</definedName>
    <definedName name="x?">#REF!</definedName>
    <definedName name="XCSB_abb_Ablauf_VKB">#REF!</definedName>
    <definedName name="XCSB_inert_Ablauf_VKB">#REF!</definedName>
    <definedName name="η2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7" i="20" l="1"/>
  <c r="D3" i="23"/>
  <c r="D7" i="24"/>
  <c r="C7" i="24"/>
  <c r="G22" i="21"/>
  <c r="F22" i="21"/>
  <c r="H22" i="21" s="1"/>
  <c r="F15" i="48"/>
  <c r="F8" i="48"/>
  <c r="F19" i="48" s="1"/>
  <c r="F24" i="48" s="1"/>
  <c r="F26" i="48" s="1"/>
  <c r="F27" i="48" s="1"/>
  <c r="F5" i="48"/>
  <c r="P4" i="48"/>
  <c r="F4" i="48"/>
  <c r="P3" i="48"/>
  <c r="C1" i="48"/>
  <c r="A1" i="48"/>
  <c r="G87" i="47"/>
  <c r="G88" i="47" s="1"/>
  <c r="G84" i="47"/>
  <c r="H83" i="47"/>
  <c r="G81" i="47"/>
  <c r="H80" i="47"/>
  <c r="F24" i="45" s="1"/>
  <c r="E24" i="45" s="1"/>
  <c r="C24" i="45" s="1"/>
  <c r="G78" i="47"/>
  <c r="G77" i="47"/>
  <c r="H76" i="47"/>
  <c r="G74" i="47"/>
  <c r="G73" i="47"/>
  <c r="H72" i="47"/>
  <c r="G70" i="47"/>
  <c r="G69" i="47"/>
  <c r="H68" i="47"/>
  <c r="G66" i="47"/>
  <c r="G65" i="47"/>
  <c r="H64" i="47"/>
  <c r="G62" i="47"/>
  <c r="G61" i="47"/>
  <c r="G60" i="47"/>
  <c r="G59" i="47"/>
  <c r="G58" i="47"/>
  <c r="G57" i="47"/>
  <c r="F57" i="47"/>
  <c r="G56" i="47"/>
  <c r="G55" i="47"/>
  <c r="G54" i="47"/>
  <c r="H53" i="47"/>
  <c r="F19" i="45" s="1"/>
  <c r="E19" i="45" s="1"/>
  <c r="C19" i="45" s="1"/>
  <c r="G51" i="47"/>
  <c r="G50" i="47"/>
  <c r="F50" i="47"/>
  <c r="G49" i="47"/>
  <c r="G48" i="47"/>
  <c r="G47" i="47"/>
  <c r="H46" i="47" s="1"/>
  <c r="F18" i="45" s="1"/>
  <c r="E18" i="45" s="1"/>
  <c r="C18" i="45" s="1"/>
  <c r="F47" i="47"/>
  <c r="G44" i="47"/>
  <c r="G43" i="47"/>
  <c r="H42" i="47"/>
  <c r="G40" i="47"/>
  <c r="H39" i="47"/>
  <c r="G37" i="47"/>
  <c r="G36" i="47"/>
  <c r="G35" i="47"/>
  <c r="H34" i="47"/>
  <c r="G32" i="47"/>
  <c r="G31" i="47"/>
  <c r="F31" i="47"/>
  <c r="G30" i="47"/>
  <c r="G29" i="47"/>
  <c r="H28" i="47"/>
  <c r="F14" i="45" s="1"/>
  <c r="E14" i="45" s="1"/>
  <c r="C14" i="45" s="1"/>
  <c r="G26" i="47"/>
  <c r="G25" i="47"/>
  <c r="G24" i="47"/>
  <c r="H23" i="47"/>
  <c r="G21" i="47"/>
  <c r="G20" i="47"/>
  <c r="F20" i="47"/>
  <c r="G19" i="47"/>
  <c r="F19" i="47"/>
  <c r="H18" i="47"/>
  <c r="G16" i="47"/>
  <c r="G15" i="47"/>
  <c r="G14" i="47"/>
  <c r="H13" i="47"/>
  <c r="G11" i="47"/>
  <c r="G10" i="47"/>
  <c r="G9" i="47"/>
  <c r="G8" i="47"/>
  <c r="G7" i="47"/>
  <c r="H6" i="47"/>
  <c r="B1" i="47"/>
  <c r="G67" i="46"/>
  <c r="E67" i="46"/>
  <c r="G66" i="46"/>
  <c r="F66" i="46"/>
  <c r="E66" i="46"/>
  <c r="G63" i="46"/>
  <c r="F63" i="46"/>
  <c r="E63" i="46"/>
  <c r="I60" i="46"/>
  <c r="K60" i="46" s="1"/>
  <c r="H60" i="46"/>
  <c r="G60" i="46"/>
  <c r="F60" i="46"/>
  <c r="E60" i="46"/>
  <c r="H57" i="46"/>
  <c r="G57" i="46"/>
  <c r="I57" i="46" s="1"/>
  <c r="K57" i="46" s="1"/>
  <c r="F57" i="46"/>
  <c r="E57" i="46"/>
  <c r="I54" i="46"/>
  <c r="K54" i="46" s="1"/>
  <c r="H54" i="46"/>
  <c r="G54" i="46"/>
  <c r="F54" i="46"/>
  <c r="E54" i="46"/>
  <c r="I53" i="46"/>
  <c r="K53" i="46" s="1"/>
  <c r="H53" i="46"/>
  <c r="G53" i="46"/>
  <c r="F53" i="46"/>
  <c r="E53" i="46"/>
  <c r="H50" i="46"/>
  <c r="G50" i="46"/>
  <c r="I50" i="46" s="1"/>
  <c r="K50" i="46" s="1"/>
  <c r="F50" i="46"/>
  <c r="E50" i="46"/>
  <c r="G49" i="46"/>
  <c r="I49" i="46" s="1"/>
  <c r="K49" i="46" s="1"/>
  <c r="F49" i="46"/>
  <c r="E49" i="46"/>
  <c r="I48" i="46"/>
  <c r="K48" i="46" s="1"/>
  <c r="H48" i="46"/>
  <c r="G48" i="46"/>
  <c r="F48" i="46"/>
  <c r="E48" i="46"/>
  <c r="I47" i="46"/>
  <c r="K47" i="46" s="1"/>
  <c r="H47" i="46"/>
  <c r="G47" i="46"/>
  <c r="F47" i="46"/>
  <c r="E47" i="46"/>
  <c r="H44" i="46"/>
  <c r="G44" i="46"/>
  <c r="I44" i="46" s="1"/>
  <c r="K44" i="46" s="1"/>
  <c r="F44" i="46"/>
  <c r="E44" i="46"/>
  <c r="G43" i="46"/>
  <c r="I43" i="46" s="1"/>
  <c r="K43" i="46" s="1"/>
  <c r="F43" i="46"/>
  <c r="E43" i="46"/>
  <c r="I42" i="46"/>
  <c r="K42" i="46" s="1"/>
  <c r="L43" i="46" s="1"/>
  <c r="H42" i="46"/>
  <c r="G42" i="46"/>
  <c r="F42" i="46"/>
  <c r="E42" i="46"/>
  <c r="G39" i="46"/>
  <c r="F39" i="46"/>
  <c r="E39" i="46"/>
  <c r="D39" i="46"/>
  <c r="C39" i="46"/>
  <c r="B39" i="46"/>
  <c r="G36" i="46"/>
  <c r="I36" i="46" s="1"/>
  <c r="K36" i="46" s="1"/>
  <c r="F36" i="46"/>
  <c r="E36" i="46"/>
  <c r="G35" i="46"/>
  <c r="I35" i="46" s="1"/>
  <c r="K35" i="46" s="1"/>
  <c r="F35" i="46"/>
  <c r="E35" i="46"/>
  <c r="I34" i="46"/>
  <c r="K34" i="46" s="1"/>
  <c r="G34" i="46"/>
  <c r="F34" i="46"/>
  <c r="E34" i="46"/>
  <c r="I31" i="46"/>
  <c r="K31" i="46" s="1"/>
  <c r="G31" i="46"/>
  <c r="F31" i="46"/>
  <c r="E31" i="46"/>
  <c r="K28" i="46"/>
  <c r="I28" i="46"/>
  <c r="H28" i="46"/>
  <c r="G28" i="46"/>
  <c r="E28" i="46"/>
  <c r="H27" i="46"/>
  <c r="G27" i="46"/>
  <c r="I27" i="46" s="1"/>
  <c r="K27" i="46" s="1"/>
  <c r="F27" i="46"/>
  <c r="E27" i="46"/>
  <c r="I26" i="46"/>
  <c r="K26" i="46" s="1"/>
  <c r="H26" i="46"/>
  <c r="G26" i="46"/>
  <c r="E26" i="46"/>
  <c r="I23" i="46"/>
  <c r="K23" i="46" s="1"/>
  <c r="H23" i="46"/>
  <c r="G23" i="46"/>
  <c r="E23" i="46"/>
  <c r="I22" i="46"/>
  <c r="K22" i="46" s="1"/>
  <c r="H22" i="46"/>
  <c r="G22" i="46"/>
  <c r="E22" i="46"/>
  <c r="G19" i="46"/>
  <c r="I19" i="46" s="1"/>
  <c r="K19" i="46" s="1"/>
  <c r="F19" i="46"/>
  <c r="E19" i="46"/>
  <c r="G18" i="46"/>
  <c r="I18" i="46" s="1"/>
  <c r="K18" i="46" s="1"/>
  <c r="F18" i="46"/>
  <c r="E18" i="46"/>
  <c r="O17" i="46"/>
  <c r="I17" i="46"/>
  <c r="K17" i="46" s="1"/>
  <c r="G17" i="46"/>
  <c r="F17" i="46"/>
  <c r="E17" i="46"/>
  <c r="O16" i="46"/>
  <c r="G16" i="46"/>
  <c r="I16" i="46" s="1"/>
  <c r="K16" i="46" s="1"/>
  <c r="F16" i="46"/>
  <c r="E16" i="46"/>
  <c r="G15" i="46"/>
  <c r="I15" i="46" s="1"/>
  <c r="K15" i="46" s="1"/>
  <c r="F15" i="46"/>
  <c r="E15" i="46"/>
  <c r="G14" i="46"/>
  <c r="I14" i="46" s="1"/>
  <c r="K14" i="46" s="1"/>
  <c r="F14" i="46"/>
  <c r="E14" i="46"/>
  <c r="H11" i="46"/>
  <c r="G11" i="46"/>
  <c r="I11" i="46" s="1"/>
  <c r="K11" i="46" s="1"/>
  <c r="F11" i="46"/>
  <c r="E11" i="46"/>
  <c r="I10" i="46"/>
  <c r="K10" i="46" s="1"/>
  <c r="H10" i="46"/>
  <c r="H39" i="46" s="1"/>
  <c r="I39" i="46" s="1"/>
  <c r="K39" i="46" s="1"/>
  <c r="G10" i="46"/>
  <c r="E10" i="46"/>
  <c r="I7" i="46"/>
  <c r="K7" i="46" s="1"/>
  <c r="G7" i="46"/>
  <c r="F7" i="46"/>
  <c r="E7" i="46"/>
  <c r="G6" i="46"/>
  <c r="I6" i="46" s="1"/>
  <c r="K6" i="46" s="1"/>
  <c r="F6" i="46"/>
  <c r="E6" i="46"/>
  <c r="F52" i="45"/>
  <c r="D35" i="45" s="1"/>
  <c r="F51" i="45"/>
  <c r="F50" i="45"/>
  <c r="F49" i="45"/>
  <c r="C44" i="45"/>
  <c r="E38" i="45"/>
  <c r="C38" i="45"/>
  <c r="E37" i="45"/>
  <c r="C37" i="45"/>
  <c r="E36" i="45"/>
  <c r="C36" i="45"/>
  <c r="E35" i="45"/>
  <c r="C34" i="45"/>
  <c r="C33" i="45"/>
  <c r="E32" i="45"/>
  <c r="C32" i="45"/>
  <c r="C31" i="45"/>
  <c r="E30" i="45"/>
  <c r="C30" i="45"/>
  <c r="E29" i="45"/>
  <c r="C29" i="45" s="1"/>
  <c r="E28" i="45"/>
  <c r="C28" i="45"/>
  <c r="C27" i="45"/>
  <c r="D26" i="45"/>
  <c r="C26" i="45"/>
  <c r="E25" i="45"/>
  <c r="D25" i="45"/>
  <c r="C25" i="45"/>
  <c r="D24" i="45"/>
  <c r="F23" i="45"/>
  <c r="E23" i="45"/>
  <c r="D23" i="45"/>
  <c r="C23" i="45"/>
  <c r="F22" i="45"/>
  <c r="E22" i="45"/>
  <c r="D22" i="45"/>
  <c r="C22" i="45"/>
  <c r="F21" i="45"/>
  <c r="E21" i="45"/>
  <c r="D21" i="45"/>
  <c r="C21" i="45"/>
  <c r="F20" i="45"/>
  <c r="E20" i="45"/>
  <c r="C20" i="45"/>
  <c r="D19" i="45"/>
  <c r="D18" i="45"/>
  <c r="F17" i="45"/>
  <c r="E17" i="45" s="1"/>
  <c r="C17" i="45" s="1"/>
  <c r="D17" i="45"/>
  <c r="F16" i="45"/>
  <c r="E16" i="45"/>
  <c r="C16" i="45"/>
  <c r="F15" i="45"/>
  <c r="E15" i="45"/>
  <c r="D15" i="45"/>
  <c r="C15" i="45"/>
  <c r="D14" i="45"/>
  <c r="F13" i="45"/>
  <c r="E13" i="45"/>
  <c r="C13" i="45" s="1"/>
  <c r="D13" i="45"/>
  <c r="F12" i="45"/>
  <c r="E12" i="45" s="1"/>
  <c r="F11" i="45"/>
  <c r="E11" i="45"/>
  <c r="C11" i="45" s="1"/>
  <c r="D11" i="45"/>
  <c r="F10" i="45"/>
  <c r="E10" i="45"/>
  <c r="D10" i="45"/>
  <c r="C10" i="45"/>
  <c r="F10" i="48" l="1"/>
  <c r="F16" i="48" s="1"/>
  <c r="F17" i="48" s="1"/>
  <c r="D39" i="45"/>
  <c r="C35" i="45"/>
  <c r="C39" i="45" s="1"/>
  <c r="C42" i="45" s="1"/>
  <c r="K67" i="46"/>
  <c r="L7" i="46"/>
  <c r="C12" i="45"/>
  <c r="E39" i="45"/>
  <c r="F39" i="45"/>
  <c r="L54" i="46"/>
  <c r="L19" i="46"/>
  <c r="L50" i="46"/>
  <c r="F20" i="48"/>
  <c r="P6" i="48" s="1"/>
  <c r="H39" i="45" l="1"/>
  <c r="F11" i="48"/>
  <c r="F12" i="48" s="1"/>
  <c r="AP169" i="42" l="1"/>
  <c r="AO169" i="42"/>
  <c r="AN169" i="42"/>
  <c r="AV169" i="42" s="1"/>
  <c r="AP168" i="42"/>
  <c r="AO168" i="42"/>
  <c r="AN168" i="42"/>
  <c r="AQ165" i="42"/>
  <c r="AP165" i="42" s="1"/>
  <c r="AQ164" i="42"/>
  <c r="AP164" i="42"/>
  <c r="AO164" i="42"/>
  <c r="AN164" i="42"/>
  <c r="AV164" i="42" s="1"/>
  <c r="AQ162" i="42"/>
  <c r="AO162" i="42" s="1"/>
  <c r="AP162" i="42"/>
  <c r="AP159" i="42"/>
  <c r="AO159" i="42"/>
  <c r="AN159" i="42"/>
  <c r="AV159" i="42" s="1"/>
  <c r="AQ158" i="42"/>
  <c r="AN158" i="42" s="1"/>
  <c r="AP158" i="42"/>
  <c r="AP157" i="42"/>
  <c r="AO157" i="42"/>
  <c r="AN157" i="42"/>
  <c r="AQ156" i="42"/>
  <c r="AO156" i="42" s="1"/>
  <c r="AQ155" i="42"/>
  <c r="AP155" i="42" s="1"/>
  <c r="AV154" i="42"/>
  <c r="AP154" i="42"/>
  <c r="AO154" i="42"/>
  <c r="AN154" i="42"/>
  <c r="AP153" i="42"/>
  <c r="AO153" i="42"/>
  <c r="AN153" i="42"/>
  <c r="AV153" i="42" s="1"/>
  <c r="AQ152" i="42"/>
  <c r="AQ163" i="42" s="1"/>
  <c r="AO152" i="42"/>
  <c r="AN152" i="42"/>
  <c r="AT150" i="42"/>
  <c r="AQ150" i="42"/>
  <c r="AP150" i="42" s="1"/>
  <c r="AL150" i="42"/>
  <c r="AT149" i="42"/>
  <c r="AQ149" i="42"/>
  <c r="AO149" i="42" s="1"/>
  <c r="AP149" i="42"/>
  <c r="AL149" i="42"/>
  <c r="AT148" i="42"/>
  <c r="AP148" i="42"/>
  <c r="AO148" i="42"/>
  <c r="AN148" i="42"/>
  <c r="AV148" i="42" s="1"/>
  <c r="AL148" i="42"/>
  <c r="AT147" i="42"/>
  <c r="AP147" i="42"/>
  <c r="AO147" i="42"/>
  <c r="AN147" i="42"/>
  <c r="AL147" i="42"/>
  <c r="AT146" i="42"/>
  <c r="AP146" i="42"/>
  <c r="AO146" i="42"/>
  <c r="AN146" i="42"/>
  <c r="AV146" i="42" s="1"/>
  <c r="AL146" i="42"/>
  <c r="AT145" i="42"/>
  <c r="AP145" i="42"/>
  <c r="AO145" i="42"/>
  <c r="AN145" i="42"/>
  <c r="AV145" i="42" s="1"/>
  <c r="AL145" i="42"/>
  <c r="AT144" i="42"/>
  <c r="AL144" i="42"/>
  <c r="AT143" i="42"/>
  <c r="AL143" i="42"/>
  <c r="AT142" i="42"/>
  <c r="AQ142" i="42"/>
  <c r="AQ143" i="42" s="1"/>
  <c r="AL142" i="42"/>
  <c r="AT141" i="42"/>
  <c r="AP141" i="42"/>
  <c r="AO141" i="42"/>
  <c r="AN141" i="42"/>
  <c r="AV141" i="42" s="1"/>
  <c r="AL141" i="42"/>
  <c r="AT140" i="42"/>
  <c r="AL140" i="42"/>
  <c r="AT139" i="42"/>
  <c r="AL139" i="42"/>
  <c r="AT138" i="42"/>
  <c r="AQ138" i="42"/>
  <c r="AO138" i="42" s="1"/>
  <c r="AP138" i="42"/>
  <c r="AN138" i="42"/>
  <c r="AV138" i="42" s="1"/>
  <c r="AL138" i="42"/>
  <c r="AT137" i="42"/>
  <c r="AP137" i="42"/>
  <c r="AO137" i="42"/>
  <c r="AN137" i="42"/>
  <c r="AV137" i="42" s="1"/>
  <c r="AL137" i="42"/>
  <c r="AT136" i="42"/>
  <c r="AQ136" i="42"/>
  <c r="AP136" i="42" s="1"/>
  <c r="AL136" i="42"/>
  <c r="AT135" i="42"/>
  <c r="AP135" i="42"/>
  <c r="AO135" i="42"/>
  <c r="AN135" i="42"/>
  <c r="AL135" i="42"/>
  <c r="AT134" i="42"/>
  <c r="AQ134" i="42"/>
  <c r="AP134" i="42" s="1"/>
  <c r="AN134" i="42"/>
  <c r="AL134" i="42"/>
  <c r="AT133" i="42"/>
  <c r="AP133" i="42"/>
  <c r="AO133" i="42"/>
  <c r="AN133" i="42"/>
  <c r="AL133" i="42"/>
  <c r="AT132" i="42"/>
  <c r="AL132" i="42"/>
  <c r="AT131" i="42"/>
  <c r="AQ131" i="42"/>
  <c r="AQ132" i="42" s="1"/>
  <c r="AO131" i="42"/>
  <c r="AN131" i="42"/>
  <c r="AL131" i="42"/>
  <c r="AT130" i="42"/>
  <c r="AP130" i="42"/>
  <c r="AO130" i="42"/>
  <c r="AN130" i="42"/>
  <c r="AV130" i="42" s="1"/>
  <c r="AL130" i="42"/>
  <c r="AT129" i="42"/>
  <c r="AL129" i="42"/>
  <c r="AT128" i="42"/>
  <c r="AL128" i="42"/>
  <c r="AT127" i="42"/>
  <c r="AL127" i="42"/>
  <c r="AT126" i="42"/>
  <c r="AL126" i="42"/>
  <c r="AT125" i="42"/>
  <c r="AQ125" i="42"/>
  <c r="AN125" i="42" s="1"/>
  <c r="AO125" i="42"/>
  <c r="AL125" i="42"/>
  <c r="AT124" i="42"/>
  <c r="AL124" i="42"/>
  <c r="AT123" i="42"/>
  <c r="AP123" i="42"/>
  <c r="AO123" i="42"/>
  <c r="AN123" i="42"/>
  <c r="AV123" i="42" s="1"/>
  <c r="AL123" i="42"/>
  <c r="AT122" i="42"/>
  <c r="AP122" i="42"/>
  <c r="AO122" i="42"/>
  <c r="AN122" i="42"/>
  <c r="AL122" i="42"/>
  <c r="AT121" i="42"/>
  <c r="AL121" i="42"/>
  <c r="AT120" i="42"/>
  <c r="AL120" i="42"/>
  <c r="AT119" i="42"/>
  <c r="AQ119" i="42"/>
  <c r="AN119" i="42" s="1"/>
  <c r="AO119" i="42"/>
  <c r="AL119" i="42"/>
  <c r="AT118" i="42"/>
  <c r="AP118" i="42"/>
  <c r="AO118" i="42"/>
  <c r="AN118" i="42"/>
  <c r="AV118" i="42" s="1"/>
  <c r="AL118" i="42"/>
  <c r="AT117" i="42"/>
  <c r="AP117" i="42"/>
  <c r="AO117" i="42"/>
  <c r="AN117" i="42"/>
  <c r="AV117" i="42" s="1"/>
  <c r="AL117" i="42"/>
  <c r="AT116" i="42"/>
  <c r="AP116" i="42"/>
  <c r="AO116" i="42"/>
  <c r="AN116" i="42"/>
  <c r="AV116" i="42" s="1"/>
  <c r="AL116" i="42"/>
  <c r="AT115" i="42"/>
  <c r="AP115" i="42"/>
  <c r="AO115" i="42"/>
  <c r="AN115" i="42"/>
  <c r="AV115" i="42" s="1"/>
  <c r="AL115" i="42"/>
  <c r="AT114" i="42"/>
  <c r="AP114" i="42"/>
  <c r="AO114" i="42"/>
  <c r="AN114" i="42"/>
  <c r="AV114" i="42" s="1"/>
  <c r="AL114" i="42"/>
  <c r="AT113" i="42"/>
  <c r="AP113" i="42"/>
  <c r="AO113" i="42"/>
  <c r="AN113" i="42"/>
  <c r="AV113" i="42" s="1"/>
  <c r="AL113" i="42"/>
  <c r="AT112" i="42"/>
  <c r="AP112" i="42"/>
  <c r="AO112" i="42"/>
  <c r="AN112" i="42"/>
  <c r="AV112" i="42" s="1"/>
  <c r="AL112" i="42"/>
  <c r="AT111" i="42"/>
  <c r="AP111" i="42"/>
  <c r="AO111" i="42"/>
  <c r="AN111" i="42"/>
  <c r="AV111" i="42" s="1"/>
  <c r="AL111" i="42"/>
  <c r="AT110" i="42"/>
  <c r="AP110" i="42"/>
  <c r="AO110" i="42"/>
  <c r="AN110" i="42"/>
  <c r="AV110" i="42" s="1"/>
  <c r="AL110" i="42"/>
  <c r="AT109" i="42"/>
  <c r="AP109" i="42"/>
  <c r="AO109" i="42"/>
  <c r="AN109" i="42"/>
  <c r="AV109" i="42" s="1"/>
  <c r="AT108" i="42"/>
  <c r="AP108" i="42"/>
  <c r="AO108" i="42"/>
  <c r="AN108" i="42"/>
  <c r="AV108" i="42" s="1"/>
  <c r="AT107" i="42"/>
  <c r="AP107" i="42"/>
  <c r="AO107" i="42"/>
  <c r="AN107" i="42"/>
  <c r="AV107" i="42" s="1"/>
  <c r="AP106" i="42"/>
  <c r="AV106" i="42" s="1"/>
  <c r="AO106" i="42"/>
  <c r="AN106" i="42"/>
  <c r="AT105" i="42"/>
  <c r="AP105" i="42"/>
  <c r="AO105" i="42"/>
  <c r="AN105" i="42"/>
  <c r="AP104" i="42"/>
  <c r="AO104" i="42"/>
  <c r="AN104" i="42"/>
  <c r="AV104" i="42" s="1"/>
  <c r="AT103" i="42"/>
  <c r="AP103" i="42"/>
  <c r="AO103" i="42"/>
  <c r="AN103" i="42"/>
  <c r="AV103" i="42" s="1"/>
  <c r="AT102" i="42"/>
  <c r="AP102" i="42"/>
  <c r="AO102" i="42"/>
  <c r="AN102" i="42"/>
  <c r="AV102" i="42" s="1"/>
  <c r="AP101" i="42"/>
  <c r="AO101" i="42"/>
  <c r="AN101" i="42"/>
  <c r="AP100" i="42"/>
  <c r="AO100" i="42"/>
  <c r="AN100" i="42"/>
  <c r="AV100" i="42" s="1"/>
  <c r="AT99" i="42"/>
  <c r="AP99" i="42"/>
  <c r="AO99" i="42"/>
  <c r="AN99" i="42"/>
  <c r="AV99" i="42" s="1"/>
  <c r="AT98" i="42"/>
  <c r="AP98" i="42"/>
  <c r="AO98" i="42"/>
  <c r="AN98" i="42"/>
  <c r="AV98" i="42" s="1"/>
  <c r="AP97" i="42"/>
  <c r="AO97" i="42"/>
  <c r="AN97" i="42"/>
  <c r="AV97" i="42" s="1"/>
  <c r="AT96" i="42"/>
  <c r="AP96" i="42"/>
  <c r="AO96" i="42"/>
  <c r="AN96" i="42"/>
  <c r="AV96" i="42" s="1"/>
  <c r="AT95" i="42"/>
  <c r="AP95" i="42"/>
  <c r="AO95" i="42"/>
  <c r="AN95" i="42"/>
  <c r="AV95" i="42" s="1"/>
  <c r="AP94" i="42"/>
  <c r="AO94" i="42"/>
  <c r="AN94" i="42"/>
  <c r="AV94" i="42" s="1"/>
  <c r="AT93" i="42"/>
  <c r="AP93" i="42"/>
  <c r="AO93" i="42"/>
  <c r="AN93" i="42"/>
  <c r="AP92" i="42"/>
  <c r="AO92" i="42"/>
  <c r="AV92" i="42" s="1"/>
  <c r="AN92" i="42"/>
  <c r="AT91" i="42"/>
  <c r="AP91" i="42"/>
  <c r="AO91" i="42"/>
  <c r="AN91" i="42"/>
  <c r="AV91" i="42" s="1"/>
  <c r="AT90" i="42"/>
  <c r="AP90" i="42"/>
  <c r="AO90" i="42"/>
  <c r="AN90" i="42"/>
  <c r="AV90" i="42" s="1"/>
  <c r="AP89" i="42"/>
  <c r="AO89" i="42"/>
  <c r="AN89" i="42"/>
  <c r="AT88" i="42"/>
  <c r="AP88" i="42"/>
  <c r="AO88" i="42"/>
  <c r="AN88" i="42"/>
  <c r="AP87" i="42"/>
  <c r="AO87" i="42"/>
  <c r="AN87" i="42"/>
  <c r="AV87" i="42" s="1"/>
  <c r="AT86" i="42"/>
  <c r="AP86" i="42"/>
  <c r="AO86" i="42"/>
  <c r="AN86" i="42"/>
  <c r="AV86" i="42" s="1"/>
  <c r="AT85" i="42"/>
  <c r="AP85" i="42"/>
  <c r="AO85" i="42"/>
  <c r="AN85" i="42"/>
  <c r="AV85" i="42" s="1"/>
  <c r="AP84" i="42"/>
  <c r="AO84" i="42"/>
  <c r="AN84" i="42"/>
  <c r="AV84" i="42" s="1"/>
  <c r="AT83" i="42"/>
  <c r="AP83" i="42"/>
  <c r="AO83" i="42"/>
  <c r="AN83" i="42"/>
  <c r="AV83" i="42" s="1"/>
  <c r="AT82" i="42"/>
  <c r="AP82" i="42"/>
  <c r="AO82" i="42"/>
  <c r="AN82" i="42"/>
  <c r="AV82" i="42" s="1"/>
  <c r="AP81" i="42"/>
  <c r="AO81" i="42"/>
  <c r="AN81" i="42"/>
  <c r="AV81" i="42" s="1"/>
  <c r="AT80" i="42"/>
  <c r="AP80" i="42"/>
  <c r="AO80" i="42"/>
  <c r="AN80" i="42"/>
  <c r="AN132" i="42" l="1"/>
  <c r="AQ161" i="42"/>
  <c r="AP161" i="42" s="1"/>
  <c r="AO132" i="42"/>
  <c r="AV157" i="42"/>
  <c r="AP131" i="42"/>
  <c r="AO158" i="42"/>
  <c r="AV88" i="42"/>
  <c r="AV105" i="42"/>
  <c r="AO134" i="42"/>
  <c r="AV168" i="42"/>
  <c r="AV131" i="42"/>
  <c r="AV101" i="42"/>
  <c r="AV147" i="42"/>
  <c r="AV89" i="42"/>
  <c r="AV122" i="42"/>
  <c r="AQ127" i="42"/>
  <c r="AQ128" i="42" s="1"/>
  <c r="AO128" i="42" s="1"/>
  <c r="AV158" i="42"/>
  <c r="AV80" i="42"/>
  <c r="AV93" i="42"/>
  <c r="AV135" i="42"/>
  <c r="AP156" i="42"/>
  <c r="AN163" i="42"/>
  <c r="AQ167" i="42"/>
  <c r="AO163" i="42"/>
  <c r="AP163" i="42"/>
  <c r="AQ144" i="42"/>
  <c r="AP143" i="42"/>
  <c r="AN143" i="42"/>
  <c r="AO143" i="42"/>
  <c r="AP119" i="42"/>
  <c r="AV119" i="42" s="1"/>
  <c r="AQ120" i="42"/>
  <c r="AP125" i="42"/>
  <c r="AV125" i="42" s="1"/>
  <c r="AP132" i="42"/>
  <c r="AV132" i="42" s="1"/>
  <c r="AV133" i="42" s="1"/>
  <c r="AV134" i="42" s="1"/>
  <c r="AN136" i="42"/>
  <c r="AN142" i="42"/>
  <c r="AN150" i="42"/>
  <c r="AV150" i="42" s="1"/>
  <c r="AN155" i="42"/>
  <c r="AN161" i="42"/>
  <c r="AN165" i="42"/>
  <c r="AQ166" i="42"/>
  <c r="AO127" i="42"/>
  <c r="AQ129" i="42"/>
  <c r="AO136" i="42"/>
  <c r="AO142" i="42"/>
  <c r="AN149" i="42"/>
  <c r="AV149" i="42" s="1"/>
  <c r="AO150" i="42"/>
  <c r="AQ151" i="42"/>
  <c r="AP152" i="42"/>
  <c r="AV152" i="42" s="1"/>
  <c r="AO155" i="42"/>
  <c r="AN156" i="42"/>
  <c r="AO161" i="42"/>
  <c r="AN162" i="42"/>
  <c r="AV162" i="42" s="1"/>
  <c r="AO165" i="42"/>
  <c r="AQ139" i="42"/>
  <c r="AP142" i="42"/>
  <c r="AN127" i="42" l="1"/>
  <c r="AV127" i="42" s="1"/>
  <c r="AN128" i="42"/>
  <c r="AV163" i="42"/>
  <c r="AP127" i="42"/>
  <c r="AV156" i="42"/>
  <c r="AP128" i="42"/>
  <c r="AO166" i="42"/>
  <c r="AN166" i="42"/>
  <c r="AP166" i="42"/>
  <c r="AN144" i="42"/>
  <c r="AO144" i="42"/>
  <c r="AP144" i="42"/>
  <c r="AN151" i="42"/>
  <c r="AO151" i="42"/>
  <c r="AP151" i="42"/>
  <c r="AV165" i="42"/>
  <c r="AV142" i="42"/>
  <c r="AV128" i="42"/>
  <c r="AV155" i="42"/>
  <c r="AQ140" i="42"/>
  <c r="AP139" i="42"/>
  <c r="AO139" i="42"/>
  <c r="AN139" i="42"/>
  <c r="AN129" i="42"/>
  <c r="AO129" i="42"/>
  <c r="AP129" i="42"/>
  <c r="AV161" i="42"/>
  <c r="AV136" i="42"/>
  <c r="AO120" i="42"/>
  <c r="AN120" i="42"/>
  <c r="AQ121" i="42"/>
  <c r="AP120" i="42"/>
  <c r="AV143" i="42"/>
  <c r="AN167" i="42"/>
  <c r="AO167" i="42"/>
  <c r="AP167" i="42"/>
  <c r="AV151" i="42" l="1"/>
  <c r="AV129" i="42"/>
  <c r="AP140" i="42"/>
  <c r="AO140" i="42"/>
  <c r="AN140" i="42"/>
  <c r="AV140" i="42" s="1"/>
  <c r="AQ124" i="42"/>
  <c r="AP121" i="42"/>
  <c r="AO121" i="42"/>
  <c r="AN121" i="42"/>
  <c r="AV139" i="42"/>
  <c r="AV166" i="42"/>
  <c r="AV167" i="42"/>
  <c r="AV120" i="42"/>
  <c r="AV144" i="42"/>
  <c r="AV121" i="42" l="1"/>
  <c r="AN124" i="42"/>
  <c r="AP124" i="42"/>
  <c r="AQ126" i="42"/>
  <c r="AO124" i="42"/>
  <c r="AQ160" i="42" l="1"/>
  <c r="AO126" i="42"/>
  <c r="AN126" i="42"/>
  <c r="AP126" i="42"/>
  <c r="AV124" i="42"/>
  <c r="AV126" i="42" l="1"/>
  <c r="AN160" i="42"/>
  <c r="AP160" i="42"/>
  <c r="AO160" i="42"/>
  <c r="AV160" i="42" l="1"/>
  <c r="C4" i="25" l="1"/>
  <c r="C10" i="22" l="1"/>
  <c r="C12" i="25" l="1"/>
  <c r="K8" i="24" s="1"/>
  <c r="C13" i="25" l="1"/>
  <c r="K9" i="24" s="1"/>
  <c r="D4" i="25" l="1"/>
  <c r="D13" i="25" l="1"/>
  <c r="D12" i="25"/>
  <c r="D62" i="20" s="1"/>
  <c r="L9" i="24" l="1"/>
  <c r="L8" i="24" l="1"/>
  <c r="E3" i="23" l="1"/>
  <c r="E76" i="20"/>
  <c r="D76" i="20" l="1"/>
  <c r="N8" i="24" l="1"/>
  <c r="M8" i="24" l="1"/>
  <c r="H8" i="24" l="1"/>
  <c r="M20" i="24"/>
  <c r="J20" i="24"/>
  <c r="H20" i="24"/>
  <c r="M19" i="24"/>
  <c r="J19" i="24"/>
  <c r="H19" i="24"/>
  <c r="M18" i="24"/>
  <c r="J18" i="24"/>
  <c r="H18" i="24"/>
  <c r="M17" i="24"/>
  <c r="J17" i="24"/>
  <c r="H17" i="24"/>
  <c r="M16" i="24"/>
  <c r="J16" i="24"/>
  <c r="H16" i="24"/>
  <c r="M15" i="24"/>
  <c r="J15" i="24"/>
  <c r="H15" i="24"/>
  <c r="M14" i="24"/>
  <c r="J14" i="24"/>
  <c r="H14" i="24"/>
  <c r="M13" i="24"/>
  <c r="J13" i="24"/>
  <c r="H13" i="24"/>
  <c r="M12" i="24"/>
  <c r="J12" i="24"/>
  <c r="H12" i="24"/>
  <c r="M11" i="24"/>
  <c r="J11" i="24"/>
  <c r="H11" i="24"/>
  <c r="J9" i="24"/>
  <c r="H9" i="24"/>
  <c r="J8" i="24"/>
  <c r="C19" i="24" s="1"/>
  <c r="N13" i="24" l="1"/>
  <c r="N17" i="24"/>
  <c r="O17" i="24" s="1"/>
  <c r="N14" i="24"/>
  <c r="N16" i="24"/>
  <c r="O16" i="24" s="1"/>
  <c r="N18" i="24"/>
  <c r="O18" i="24" s="1"/>
  <c r="N12" i="24"/>
  <c r="O12" i="24" s="1"/>
  <c r="N20" i="24"/>
  <c r="O20" i="24" s="1"/>
  <c r="N11" i="24"/>
  <c r="O11" i="24" s="1"/>
  <c r="N15" i="24"/>
  <c r="O15" i="24" s="1"/>
  <c r="N19" i="24"/>
  <c r="O19" i="24" s="1"/>
  <c r="O8" i="24"/>
  <c r="D19" i="24" s="1"/>
  <c r="O13" i="24"/>
  <c r="O14" i="24"/>
  <c r="D12" i="24" l="1"/>
  <c r="D71" i="20" l="1"/>
  <c r="D70" i="20" s="1"/>
  <c r="G21" i="24" l="1"/>
  <c r="C12" i="24"/>
  <c r="E5" i="23"/>
  <c r="D5" i="23"/>
  <c r="D65" i="20" s="1"/>
  <c r="E65" i="20" s="1"/>
  <c r="D18" i="22"/>
  <c r="C18" i="22"/>
  <c r="D10" i="22"/>
  <c r="B314" i="20"/>
  <c r="D304" i="20"/>
  <c r="C304" i="20"/>
  <c r="B304" i="20"/>
  <c r="B298" i="20"/>
  <c r="AM289" i="20"/>
  <c r="Y289" i="20"/>
  <c r="J289" i="20"/>
  <c r="AG288" i="20"/>
  <c r="R288" i="20"/>
  <c r="D288" i="20"/>
  <c r="AG287" i="20"/>
  <c r="R287" i="20"/>
  <c r="D287" i="20"/>
  <c r="AG286" i="20"/>
  <c r="R286" i="20"/>
  <c r="D286" i="20"/>
  <c r="AG285" i="20"/>
  <c r="R285" i="20"/>
  <c r="D285" i="20"/>
  <c r="AG284" i="20"/>
  <c r="R284" i="20"/>
  <c r="D284" i="20"/>
  <c r="AG283" i="20"/>
  <c r="R283" i="20"/>
  <c r="D283" i="20"/>
  <c r="AG281" i="20"/>
  <c r="AG278" i="20"/>
  <c r="R278" i="20"/>
  <c r="D278" i="20"/>
  <c r="AP264" i="20"/>
  <c r="AN264" i="20"/>
  <c r="AN265" i="20" s="1"/>
  <c r="AN266" i="20" s="1"/>
  <c r="AN267" i="20" s="1"/>
  <c r="AN268" i="20" s="1"/>
  <c r="AN269" i="20" s="1"/>
  <c r="AN270" i="20" s="1"/>
  <c r="AN271" i="20" s="1"/>
  <c r="AN272" i="20" s="1"/>
  <c r="AN273" i="20" s="1"/>
  <c r="AN274" i="20" s="1"/>
  <c r="AN275" i="20" s="1"/>
  <c r="AN276" i="20" s="1"/>
  <c r="AN277" i="20" s="1"/>
  <c r="AN278" i="20" s="1"/>
  <c r="AN279" i="20" s="1"/>
  <c r="AN280" i="20" s="1"/>
  <c r="AN281" i="20" s="1"/>
  <c r="AN282" i="20" s="1"/>
  <c r="AN283" i="20" s="1"/>
  <c r="AN284" i="20" s="1"/>
  <c r="AN285" i="20" s="1"/>
  <c r="AN286" i="20" s="1"/>
  <c r="AN287" i="20" s="1"/>
  <c r="AN288" i="20" s="1"/>
  <c r="AH264" i="20"/>
  <c r="AB264" i="20"/>
  <c r="Z264" i="20"/>
  <c r="Z265" i="20" s="1"/>
  <c r="Z266" i="20" s="1"/>
  <c r="Z267" i="20" s="1"/>
  <c r="Z268" i="20" s="1"/>
  <c r="Z269" i="20" s="1"/>
  <c r="Z270" i="20" s="1"/>
  <c r="Z271" i="20" s="1"/>
  <c r="Z272" i="20" s="1"/>
  <c r="Z273" i="20" s="1"/>
  <c r="Z274" i="20" s="1"/>
  <c r="Z275" i="20" s="1"/>
  <c r="Z276" i="20" s="1"/>
  <c r="Z277" i="20" s="1"/>
  <c r="Z278" i="20" s="1"/>
  <c r="Z279" i="20" s="1"/>
  <c r="Z280" i="20" s="1"/>
  <c r="Z281" i="20" s="1"/>
  <c r="Z282" i="20" s="1"/>
  <c r="Z283" i="20" s="1"/>
  <c r="Z284" i="20" s="1"/>
  <c r="Z285" i="20" s="1"/>
  <c r="Z286" i="20" s="1"/>
  <c r="Z287" i="20" s="1"/>
  <c r="Z288" i="20" s="1"/>
  <c r="S264" i="20"/>
  <c r="M264" i="20"/>
  <c r="K264" i="20"/>
  <c r="K265" i="20" s="1"/>
  <c r="K266" i="20" s="1"/>
  <c r="K267" i="20" s="1"/>
  <c r="K268" i="20" s="1"/>
  <c r="K269" i="20" s="1"/>
  <c r="K270" i="20" s="1"/>
  <c r="K271" i="20" s="1"/>
  <c r="K272" i="20" s="1"/>
  <c r="K273" i="20" s="1"/>
  <c r="K274" i="20" s="1"/>
  <c r="K275" i="20" s="1"/>
  <c r="K276" i="20" s="1"/>
  <c r="K277" i="20" s="1"/>
  <c r="K278" i="20" s="1"/>
  <c r="K279" i="20" s="1"/>
  <c r="K280" i="20" s="1"/>
  <c r="K281" i="20" s="1"/>
  <c r="K282" i="20" s="1"/>
  <c r="K283" i="20" s="1"/>
  <c r="K284" i="20" s="1"/>
  <c r="K285" i="20" s="1"/>
  <c r="K286" i="20" s="1"/>
  <c r="K287" i="20" s="1"/>
  <c r="K288" i="20" s="1"/>
  <c r="E264" i="20"/>
  <c r="AM263" i="20"/>
  <c r="AG263" i="20"/>
  <c r="AG282" i="20" s="1"/>
  <c r="AF263" i="20"/>
  <c r="Y263" i="20"/>
  <c r="R263" i="20"/>
  <c r="R282" i="20" s="1"/>
  <c r="Q263" i="20"/>
  <c r="J263" i="20"/>
  <c r="D263" i="20"/>
  <c r="D282" i="20" s="1"/>
  <c r="C263" i="20"/>
  <c r="AM262" i="20"/>
  <c r="AG262" i="20"/>
  <c r="AF262" i="20"/>
  <c r="Y262" i="20"/>
  <c r="R262" i="20"/>
  <c r="R281" i="20" s="1"/>
  <c r="Q262" i="20"/>
  <c r="J262" i="20"/>
  <c r="D262" i="20"/>
  <c r="D281" i="20" s="1"/>
  <c r="C262" i="20"/>
  <c r="AM261" i="20"/>
  <c r="AG261" i="20"/>
  <c r="AG280" i="20" s="1"/>
  <c r="AF261" i="20"/>
  <c r="Y261" i="20"/>
  <c r="R261" i="20"/>
  <c r="Q261" i="20"/>
  <c r="J261" i="20"/>
  <c r="D261" i="20"/>
  <c r="D280" i="20" s="1"/>
  <c r="C261" i="20"/>
  <c r="AN260" i="20"/>
  <c r="AN261" i="20" s="1"/>
  <c r="AN262" i="20" s="1"/>
  <c r="AN263" i="20" s="1"/>
  <c r="AM260" i="20"/>
  <c r="AG260" i="20"/>
  <c r="AF260" i="20"/>
  <c r="AE260" i="20"/>
  <c r="AE261" i="20" s="1"/>
  <c r="AE262" i="20" s="1"/>
  <c r="AE263" i="20" s="1"/>
  <c r="AE264" i="20" s="1"/>
  <c r="AE265" i="20" s="1"/>
  <c r="AE266" i="20" s="1"/>
  <c r="AE267" i="20" s="1"/>
  <c r="AE268" i="20" s="1"/>
  <c r="AE269" i="20" s="1"/>
  <c r="AE270" i="20" s="1"/>
  <c r="AE271" i="20" s="1"/>
  <c r="AE272" i="20" s="1"/>
  <c r="AE273" i="20" s="1"/>
  <c r="AE274" i="20" s="1"/>
  <c r="AE275" i="20" s="1"/>
  <c r="AE276" i="20" s="1"/>
  <c r="AE277" i="20" s="1"/>
  <c r="AE278" i="20" s="1"/>
  <c r="AE279" i="20" s="1"/>
  <c r="AE280" i="20" s="1"/>
  <c r="AE281" i="20" s="1"/>
  <c r="AE282" i="20" s="1"/>
  <c r="AE283" i="20" s="1"/>
  <c r="AE284" i="20" s="1"/>
  <c r="AE285" i="20" s="1"/>
  <c r="AE286" i="20" s="1"/>
  <c r="Z260" i="20"/>
  <c r="Y260" i="20"/>
  <c r="R260" i="20"/>
  <c r="Q260" i="20"/>
  <c r="P260" i="20"/>
  <c r="P261" i="20" s="1"/>
  <c r="P262" i="20" s="1"/>
  <c r="P263" i="20" s="1"/>
  <c r="P264" i="20" s="1"/>
  <c r="P265" i="20" s="1"/>
  <c r="P266" i="20" s="1"/>
  <c r="P267" i="20" s="1"/>
  <c r="P268" i="20" s="1"/>
  <c r="P269" i="20" s="1"/>
  <c r="P270" i="20" s="1"/>
  <c r="P271" i="20" s="1"/>
  <c r="P272" i="20" s="1"/>
  <c r="P273" i="20" s="1"/>
  <c r="P274" i="20" s="1"/>
  <c r="P275" i="20" s="1"/>
  <c r="P276" i="20" s="1"/>
  <c r="P277" i="20" s="1"/>
  <c r="P278" i="20" s="1"/>
  <c r="P279" i="20" s="1"/>
  <c r="P280" i="20" s="1"/>
  <c r="P281" i="20" s="1"/>
  <c r="P282" i="20" s="1"/>
  <c r="P283" i="20" s="1"/>
  <c r="P284" i="20" s="1"/>
  <c r="P285" i="20" s="1"/>
  <c r="P286" i="20" s="1"/>
  <c r="K260" i="20"/>
  <c r="J260" i="20"/>
  <c r="D260" i="20"/>
  <c r="D279" i="20" s="1"/>
  <c r="C260" i="20"/>
  <c r="B260" i="20"/>
  <c r="B261" i="20" s="1"/>
  <c r="B262" i="20" s="1"/>
  <c r="B263" i="20" s="1"/>
  <c r="B264" i="20" s="1"/>
  <c r="B265" i="20" s="1"/>
  <c r="B266" i="20" s="1"/>
  <c r="B267" i="20" s="1"/>
  <c r="B268" i="20" s="1"/>
  <c r="B269" i="20" s="1"/>
  <c r="B270" i="20" s="1"/>
  <c r="B271" i="20" s="1"/>
  <c r="B272" i="20" s="1"/>
  <c r="B273" i="20" s="1"/>
  <c r="B274" i="20" s="1"/>
  <c r="B275" i="20" s="1"/>
  <c r="B276" i="20" s="1"/>
  <c r="B277" i="20" s="1"/>
  <c r="B278" i="20" s="1"/>
  <c r="B279" i="20" s="1"/>
  <c r="B280" i="20" s="1"/>
  <c r="B281" i="20" s="1"/>
  <c r="B282" i="20" s="1"/>
  <c r="B283" i="20" s="1"/>
  <c r="B284" i="20" s="1"/>
  <c r="B285" i="20" s="1"/>
  <c r="B286" i="20" s="1"/>
  <c r="AM259" i="20"/>
  <c r="Y259" i="20"/>
  <c r="J259" i="20"/>
  <c r="B250" i="20"/>
  <c r="AM245" i="20"/>
  <c r="Y245" i="20"/>
  <c r="J245" i="20"/>
  <c r="AG244" i="20"/>
  <c r="R244" i="20"/>
  <c r="D244" i="20"/>
  <c r="AG243" i="20"/>
  <c r="R243" i="20"/>
  <c r="D243" i="20"/>
  <c r="AG242" i="20"/>
  <c r="R242" i="20"/>
  <c r="D242" i="20"/>
  <c r="AG241" i="20"/>
  <c r="R241" i="20"/>
  <c r="D241" i="20"/>
  <c r="AG240" i="20"/>
  <c r="R240" i="20"/>
  <c r="D240" i="20"/>
  <c r="AG239" i="20"/>
  <c r="R239" i="20"/>
  <c r="D239" i="20"/>
  <c r="AG234" i="20"/>
  <c r="R234" i="20"/>
  <c r="D234" i="20"/>
  <c r="AP220" i="20"/>
  <c r="AN220" i="20"/>
  <c r="AN221" i="20" s="1"/>
  <c r="AN222" i="20" s="1"/>
  <c r="AN223" i="20" s="1"/>
  <c r="AN224" i="20" s="1"/>
  <c r="AN225" i="20" s="1"/>
  <c r="AN226" i="20" s="1"/>
  <c r="AN227" i="20" s="1"/>
  <c r="AN228" i="20" s="1"/>
  <c r="AN229" i="20" s="1"/>
  <c r="AN230" i="20" s="1"/>
  <c r="AN231" i="20" s="1"/>
  <c r="AN232" i="20" s="1"/>
  <c r="AN233" i="20" s="1"/>
  <c r="AN234" i="20" s="1"/>
  <c r="AN235" i="20" s="1"/>
  <c r="AN236" i="20" s="1"/>
  <c r="AN237" i="20" s="1"/>
  <c r="AN238" i="20" s="1"/>
  <c r="AN239" i="20" s="1"/>
  <c r="AN240" i="20" s="1"/>
  <c r="AN241" i="20" s="1"/>
  <c r="AN242" i="20" s="1"/>
  <c r="AN243" i="20" s="1"/>
  <c r="AN244" i="20" s="1"/>
  <c r="AL220" i="20"/>
  <c r="AK220" i="20"/>
  <c r="AK221" i="20" s="1"/>
  <c r="AK222" i="20" s="1"/>
  <c r="AK223" i="20" s="1"/>
  <c r="AK224" i="20" s="1"/>
  <c r="AK225" i="20" s="1"/>
  <c r="AK226" i="20" s="1"/>
  <c r="AK227" i="20" s="1"/>
  <c r="AK228" i="20" s="1"/>
  <c r="AK229" i="20" s="1"/>
  <c r="AK230" i="20" s="1"/>
  <c r="AK231" i="20" s="1"/>
  <c r="AK232" i="20" s="1"/>
  <c r="AK233" i="20" s="1"/>
  <c r="AK234" i="20" s="1"/>
  <c r="AK235" i="20" s="1"/>
  <c r="AK236" i="20" s="1"/>
  <c r="AK237" i="20" s="1"/>
  <c r="AK238" i="20" s="1"/>
  <c r="AK239" i="20" s="1"/>
  <c r="AK240" i="20" s="1"/>
  <c r="AK241" i="20" s="1"/>
  <c r="AK242" i="20" s="1"/>
  <c r="AK243" i="20" s="1"/>
  <c r="AK244" i="20" s="1"/>
  <c r="AJ220" i="20"/>
  <c r="AJ221" i="20" s="1"/>
  <c r="AJ222" i="20" s="1"/>
  <c r="AJ223" i="20" s="1"/>
  <c r="AJ224" i="20" s="1"/>
  <c r="AJ225" i="20" s="1"/>
  <c r="AJ226" i="20" s="1"/>
  <c r="AJ227" i="20" s="1"/>
  <c r="AJ228" i="20" s="1"/>
  <c r="AJ229" i="20" s="1"/>
  <c r="AJ230" i="20" s="1"/>
  <c r="AJ231" i="20" s="1"/>
  <c r="AJ232" i="20" s="1"/>
  <c r="AJ233" i="20" s="1"/>
  <c r="AJ234" i="20" s="1"/>
  <c r="AJ235" i="20" s="1"/>
  <c r="AJ236" i="20" s="1"/>
  <c r="AJ237" i="20" s="1"/>
  <c r="AJ238" i="20" s="1"/>
  <c r="AJ239" i="20" s="1"/>
  <c r="AJ240" i="20" s="1"/>
  <c r="AJ241" i="20" s="1"/>
  <c r="AJ242" i="20" s="1"/>
  <c r="AJ243" i="20" s="1"/>
  <c r="AJ244" i="20" s="1"/>
  <c r="AI220" i="20"/>
  <c r="AH220" i="20"/>
  <c r="AB220" i="20"/>
  <c r="X220" i="20"/>
  <c r="X221" i="20" s="1"/>
  <c r="X222" i="20" s="1"/>
  <c r="X223" i="20" s="1"/>
  <c r="X224" i="20" s="1"/>
  <c r="X225" i="20" s="1"/>
  <c r="X226" i="20" s="1"/>
  <c r="X227" i="20" s="1"/>
  <c r="X228" i="20" s="1"/>
  <c r="X229" i="20" s="1"/>
  <c r="X230" i="20" s="1"/>
  <c r="X231" i="20" s="1"/>
  <c r="X232" i="20" s="1"/>
  <c r="X233" i="20" s="1"/>
  <c r="X234" i="20" s="1"/>
  <c r="X235" i="20" s="1"/>
  <c r="X236" i="20" s="1"/>
  <c r="X237" i="20" s="1"/>
  <c r="X238" i="20" s="1"/>
  <c r="X239" i="20" s="1"/>
  <c r="X240" i="20" s="1"/>
  <c r="X241" i="20" s="1"/>
  <c r="X242" i="20" s="1"/>
  <c r="X243" i="20" s="1"/>
  <c r="X244" i="20" s="1"/>
  <c r="M220" i="20"/>
  <c r="AM219" i="20"/>
  <c r="AG219" i="20"/>
  <c r="AG238" i="20" s="1"/>
  <c r="AF219" i="20"/>
  <c r="Y219" i="20"/>
  <c r="J219" i="20"/>
  <c r="AM218" i="20"/>
  <c r="AG218" i="20"/>
  <c r="AG237" i="20" s="1"/>
  <c r="AF218" i="20"/>
  <c r="Y218" i="20"/>
  <c r="J218" i="20"/>
  <c r="AM217" i="20"/>
  <c r="AG217" i="20"/>
  <c r="AG236" i="20" s="1"/>
  <c r="AF217" i="20"/>
  <c r="Y217" i="20"/>
  <c r="J217" i="20"/>
  <c r="AN216" i="20"/>
  <c r="AM216" i="20"/>
  <c r="AG216" i="20"/>
  <c r="AG235" i="20" s="1"/>
  <c r="AF216" i="20"/>
  <c r="AE216" i="20"/>
  <c r="AE217" i="20" s="1"/>
  <c r="AE218" i="20" s="1"/>
  <c r="AE219" i="20" s="1"/>
  <c r="AE220" i="20" s="1"/>
  <c r="AE221" i="20" s="1"/>
  <c r="AE222" i="20" s="1"/>
  <c r="AE223" i="20" s="1"/>
  <c r="AE224" i="20" s="1"/>
  <c r="AE225" i="20" s="1"/>
  <c r="AE226" i="20" s="1"/>
  <c r="AE227" i="20" s="1"/>
  <c r="AE228" i="20" s="1"/>
  <c r="AE229" i="20" s="1"/>
  <c r="AE230" i="20" s="1"/>
  <c r="AE231" i="20" s="1"/>
  <c r="AE232" i="20" s="1"/>
  <c r="AE233" i="20" s="1"/>
  <c r="AE234" i="20" s="1"/>
  <c r="AE235" i="20" s="1"/>
  <c r="AE236" i="20" s="1"/>
  <c r="AE237" i="20" s="1"/>
  <c r="AE238" i="20" s="1"/>
  <c r="AE239" i="20" s="1"/>
  <c r="AE240" i="20" s="1"/>
  <c r="AE241" i="20" s="1"/>
  <c r="AE242" i="20" s="1"/>
  <c r="Z216" i="20"/>
  <c r="Z217" i="20" s="1"/>
  <c r="Z218" i="20" s="1"/>
  <c r="Z219" i="20" s="1"/>
  <c r="Y216" i="20"/>
  <c r="K216" i="20"/>
  <c r="K217" i="20" s="1"/>
  <c r="K218" i="20" s="1"/>
  <c r="K219" i="20" s="1"/>
  <c r="J216" i="20"/>
  <c r="AM215" i="20"/>
  <c r="Y215" i="20"/>
  <c r="J215" i="20"/>
  <c r="B206" i="20"/>
  <c r="AJ198" i="20"/>
  <c r="V198" i="20"/>
  <c r="I198" i="20"/>
  <c r="AE197" i="20"/>
  <c r="Q197" i="20"/>
  <c r="D197" i="20"/>
  <c r="AE196" i="20"/>
  <c r="Q196" i="20"/>
  <c r="D196" i="20"/>
  <c r="AE195" i="20"/>
  <c r="Q195" i="20"/>
  <c r="D195" i="20"/>
  <c r="AE194" i="20"/>
  <c r="Q194" i="20"/>
  <c r="D194" i="20"/>
  <c r="AE193" i="20"/>
  <c r="Q193" i="20"/>
  <c r="D193" i="20"/>
  <c r="AE192" i="20"/>
  <c r="Q192" i="20"/>
  <c r="D192" i="20"/>
  <c r="AE187" i="20"/>
  <c r="Q187" i="20"/>
  <c r="D187" i="20"/>
  <c r="AM173" i="20"/>
  <c r="AK173" i="20"/>
  <c r="AK174" i="20" s="1"/>
  <c r="AK175" i="20" s="1"/>
  <c r="AK176" i="20" s="1"/>
  <c r="AK177" i="20" s="1"/>
  <c r="AK178" i="20" s="1"/>
  <c r="AK179" i="20" s="1"/>
  <c r="AK180" i="20" s="1"/>
  <c r="AK181" i="20" s="1"/>
  <c r="AK182" i="20" s="1"/>
  <c r="AK183" i="20" s="1"/>
  <c r="AK184" i="20" s="1"/>
  <c r="AK185" i="20" s="1"/>
  <c r="AK186" i="20" s="1"/>
  <c r="AK187" i="20" s="1"/>
  <c r="AK188" i="20" s="1"/>
  <c r="AK189" i="20" s="1"/>
  <c r="AK190" i="20" s="1"/>
  <c r="AK191" i="20" s="1"/>
  <c r="AK192" i="20" s="1"/>
  <c r="AK193" i="20" s="1"/>
  <c r="AK194" i="20" s="1"/>
  <c r="AK195" i="20" s="1"/>
  <c r="AK196" i="20" s="1"/>
  <c r="AK197" i="20" s="1"/>
  <c r="AF173" i="20"/>
  <c r="Z173" i="20"/>
  <c r="W173" i="20"/>
  <c r="W174" i="20" s="1"/>
  <c r="W175" i="20" s="1"/>
  <c r="W176" i="20" s="1"/>
  <c r="W177" i="20" s="1"/>
  <c r="W178" i="20" s="1"/>
  <c r="W179" i="20" s="1"/>
  <c r="W180" i="20" s="1"/>
  <c r="W181" i="20" s="1"/>
  <c r="W182" i="20" s="1"/>
  <c r="W183" i="20" s="1"/>
  <c r="W184" i="20" s="1"/>
  <c r="W185" i="20" s="1"/>
  <c r="W186" i="20" s="1"/>
  <c r="W187" i="20" s="1"/>
  <c r="W188" i="20" s="1"/>
  <c r="W189" i="20" s="1"/>
  <c r="W190" i="20" s="1"/>
  <c r="W191" i="20" s="1"/>
  <c r="W192" i="20" s="1"/>
  <c r="W193" i="20" s="1"/>
  <c r="W194" i="20" s="1"/>
  <c r="W195" i="20" s="1"/>
  <c r="W196" i="20" s="1"/>
  <c r="W197" i="20" s="1"/>
  <c r="R173" i="20"/>
  <c r="L173" i="20"/>
  <c r="J173" i="20"/>
  <c r="J174" i="20" s="1"/>
  <c r="E173" i="20"/>
  <c r="AJ172" i="20"/>
  <c r="AE172" i="20"/>
  <c r="AE191" i="20" s="1"/>
  <c r="AD172" i="20"/>
  <c r="V172" i="20"/>
  <c r="Q172" i="20"/>
  <c r="Q191" i="20" s="1"/>
  <c r="P172" i="20"/>
  <c r="I172" i="20"/>
  <c r="D172" i="20"/>
  <c r="D191" i="20" s="1"/>
  <c r="C172" i="20"/>
  <c r="AJ171" i="20"/>
  <c r="AE171" i="20"/>
  <c r="AE190" i="20" s="1"/>
  <c r="AD171" i="20"/>
  <c r="V171" i="20"/>
  <c r="Q171" i="20"/>
  <c r="Q190" i="20" s="1"/>
  <c r="P171" i="20"/>
  <c r="I171" i="20"/>
  <c r="D171" i="20"/>
  <c r="D190" i="20" s="1"/>
  <c r="C171" i="20"/>
  <c r="AJ170" i="20"/>
  <c r="AE170" i="20"/>
  <c r="AE189" i="20" s="1"/>
  <c r="AD170" i="20"/>
  <c r="V170" i="20"/>
  <c r="Q170" i="20"/>
  <c r="Q189" i="20" s="1"/>
  <c r="P170" i="20"/>
  <c r="I170" i="20"/>
  <c r="D170" i="20"/>
  <c r="D189" i="20" s="1"/>
  <c r="C170" i="20"/>
  <c r="AK169" i="20"/>
  <c r="AK170" i="20" s="1"/>
  <c r="AK171" i="20" s="1"/>
  <c r="AK172" i="20" s="1"/>
  <c r="AJ169" i="20"/>
  <c r="AE169" i="20"/>
  <c r="AE188" i="20" s="1"/>
  <c r="AD169" i="20"/>
  <c r="AC169" i="20"/>
  <c r="AC170" i="20" s="1"/>
  <c r="AC171" i="20" s="1"/>
  <c r="AC172" i="20" s="1"/>
  <c r="AC173" i="20" s="1"/>
  <c r="AC174" i="20" s="1"/>
  <c r="AC175" i="20" s="1"/>
  <c r="AC176" i="20" s="1"/>
  <c r="AC177" i="20" s="1"/>
  <c r="AC178" i="20" s="1"/>
  <c r="AC179" i="20" s="1"/>
  <c r="AC180" i="20" s="1"/>
  <c r="AC181" i="20" s="1"/>
  <c r="AC182" i="20" s="1"/>
  <c r="AC183" i="20" s="1"/>
  <c r="AC184" i="20" s="1"/>
  <c r="AC185" i="20" s="1"/>
  <c r="AC186" i="20" s="1"/>
  <c r="AC187" i="20" s="1"/>
  <c r="AC188" i="20" s="1"/>
  <c r="AC189" i="20" s="1"/>
  <c r="AC190" i="20" s="1"/>
  <c r="AC191" i="20" s="1"/>
  <c r="AC192" i="20" s="1"/>
  <c r="AC193" i="20" s="1"/>
  <c r="AC194" i="20" s="1"/>
  <c r="AC195" i="20" s="1"/>
  <c r="W169" i="20"/>
  <c r="W170" i="20" s="1"/>
  <c r="W171" i="20" s="1"/>
  <c r="W172" i="20" s="1"/>
  <c r="V169" i="20"/>
  <c r="Q169" i="20"/>
  <c r="Q188" i="20" s="1"/>
  <c r="P169" i="20"/>
  <c r="O169" i="20"/>
  <c r="O170" i="20" s="1"/>
  <c r="O171" i="20" s="1"/>
  <c r="O172" i="20" s="1"/>
  <c r="O173" i="20" s="1"/>
  <c r="O174" i="20" s="1"/>
  <c r="O175" i="20" s="1"/>
  <c r="O176" i="20" s="1"/>
  <c r="O177" i="20" s="1"/>
  <c r="O178" i="20" s="1"/>
  <c r="O179" i="20" s="1"/>
  <c r="O180" i="20" s="1"/>
  <c r="O181" i="20" s="1"/>
  <c r="O182" i="20" s="1"/>
  <c r="O183" i="20" s="1"/>
  <c r="O184" i="20" s="1"/>
  <c r="O185" i="20" s="1"/>
  <c r="O186" i="20" s="1"/>
  <c r="O187" i="20" s="1"/>
  <c r="O188" i="20" s="1"/>
  <c r="O189" i="20" s="1"/>
  <c r="O190" i="20" s="1"/>
  <c r="O191" i="20" s="1"/>
  <c r="O192" i="20" s="1"/>
  <c r="O193" i="20" s="1"/>
  <c r="O194" i="20" s="1"/>
  <c r="O195" i="20" s="1"/>
  <c r="J169" i="20"/>
  <c r="J170" i="20" s="1"/>
  <c r="J171" i="20" s="1"/>
  <c r="J172" i="20" s="1"/>
  <c r="I169" i="20"/>
  <c r="D169" i="20"/>
  <c r="D188" i="20" s="1"/>
  <c r="C169" i="20"/>
  <c r="B169" i="20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AJ168" i="20"/>
  <c r="V168" i="20"/>
  <c r="I168" i="20"/>
  <c r="B159" i="20"/>
  <c r="V154" i="20"/>
  <c r="I154" i="20"/>
  <c r="Q153" i="20"/>
  <c r="D153" i="20"/>
  <c r="Q152" i="20"/>
  <c r="D152" i="20"/>
  <c r="Q151" i="20"/>
  <c r="D151" i="20"/>
  <c r="Q150" i="20"/>
  <c r="D150" i="20"/>
  <c r="Q149" i="20"/>
  <c r="D149" i="20"/>
  <c r="Q148" i="20"/>
  <c r="D148" i="20"/>
  <c r="Q143" i="20"/>
  <c r="D143" i="20"/>
  <c r="Z129" i="20"/>
  <c r="W129" i="20"/>
  <c r="W130" i="20" s="1"/>
  <c r="W131" i="20" s="1"/>
  <c r="W132" i="20" s="1"/>
  <c r="W133" i="20" s="1"/>
  <c r="W134" i="20" s="1"/>
  <c r="W135" i="20" s="1"/>
  <c r="W136" i="20" s="1"/>
  <c r="W137" i="20" s="1"/>
  <c r="W138" i="20" s="1"/>
  <c r="W139" i="20" s="1"/>
  <c r="W140" i="20" s="1"/>
  <c r="W141" i="20" s="1"/>
  <c r="W142" i="20" s="1"/>
  <c r="W143" i="20" s="1"/>
  <c r="W144" i="20" s="1"/>
  <c r="W145" i="20" s="1"/>
  <c r="W146" i="20" s="1"/>
  <c r="W147" i="20" s="1"/>
  <c r="W148" i="20" s="1"/>
  <c r="W149" i="20" s="1"/>
  <c r="W150" i="20" s="1"/>
  <c r="W151" i="20" s="1"/>
  <c r="W152" i="20" s="1"/>
  <c r="W153" i="20" s="1"/>
  <c r="L129" i="20"/>
  <c r="J129" i="20"/>
  <c r="J130" i="20" s="1"/>
  <c r="J131" i="20" s="1"/>
  <c r="J132" i="20" s="1"/>
  <c r="J133" i="20" s="1"/>
  <c r="J134" i="20" s="1"/>
  <c r="J135" i="20" s="1"/>
  <c r="J136" i="20" s="1"/>
  <c r="J137" i="20" s="1"/>
  <c r="J138" i="20" s="1"/>
  <c r="J139" i="20" s="1"/>
  <c r="J140" i="20" s="1"/>
  <c r="J141" i="20" s="1"/>
  <c r="J142" i="20" s="1"/>
  <c r="J143" i="20" s="1"/>
  <c r="J144" i="20" s="1"/>
  <c r="J145" i="20" s="1"/>
  <c r="J146" i="20" s="1"/>
  <c r="J147" i="20" s="1"/>
  <c r="J148" i="20" s="1"/>
  <c r="J149" i="20" s="1"/>
  <c r="J150" i="20" s="1"/>
  <c r="J151" i="20" s="1"/>
  <c r="J152" i="20" s="1"/>
  <c r="J153" i="20" s="1"/>
  <c r="V128" i="20"/>
  <c r="Q128" i="20"/>
  <c r="Q147" i="20" s="1"/>
  <c r="P128" i="20"/>
  <c r="I128" i="20"/>
  <c r="D128" i="20"/>
  <c r="D147" i="20" s="1"/>
  <c r="C128" i="20"/>
  <c r="V127" i="20"/>
  <c r="Q127" i="20"/>
  <c r="Q146" i="20" s="1"/>
  <c r="P127" i="20"/>
  <c r="I127" i="20"/>
  <c r="D127" i="20"/>
  <c r="D146" i="20" s="1"/>
  <c r="C127" i="20"/>
  <c r="V126" i="20"/>
  <c r="Q126" i="20"/>
  <c r="Q145" i="20" s="1"/>
  <c r="P126" i="20"/>
  <c r="I126" i="20"/>
  <c r="D126" i="20"/>
  <c r="D145" i="20" s="1"/>
  <c r="C126" i="20"/>
  <c r="W125" i="20"/>
  <c r="W126" i="20" s="1"/>
  <c r="W127" i="20" s="1"/>
  <c r="W128" i="20" s="1"/>
  <c r="V125" i="20"/>
  <c r="Q125" i="20"/>
  <c r="P125" i="20"/>
  <c r="O125" i="20"/>
  <c r="O126" i="20" s="1"/>
  <c r="O127" i="20" s="1"/>
  <c r="O128" i="20" s="1"/>
  <c r="O129" i="20" s="1"/>
  <c r="O130" i="20" s="1"/>
  <c r="O131" i="20" s="1"/>
  <c r="O132" i="20" s="1"/>
  <c r="O133" i="20" s="1"/>
  <c r="O134" i="20" s="1"/>
  <c r="O135" i="20" s="1"/>
  <c r="O136" i="20" s="1"/>
  <c r="O137" i="20" s="1"/>
  <c r="O138" i="20" s="1"/>
  <c r="O139" i="20" s="1"/>
  <c r="O140" i="20" s="1"/>
  <c r="O141" i="20" s="1"/>
  <c r="O142" i="20" s="1"/>
  <c r="O143" i="20" s="1"/>
  <c r="O144" i="20" s="1"/>
  <c r="O145" i="20" s="1"/>
  <c r="O146" i="20" s="1"/>
  <c r="O147" i="20" s="1"/>
  <c r="O148" i="20" s="1"/>
  <c r="O149" i="20" s="1"/>
  <c r="O150" i="20" s="1"/>
  <c r="O151" i="20" s="1"/>
  <c r="J125" i="20"/>
  <c r="J126" i="20" s="1"/>
  <c r="J127" i="20" s="1"/>
  <c r="J128" i="20" s="1"/>
  <c r="I125" i="20"/>
  <c r="D125" i="20"/>
  <c r="C125" i="20"/>
  <c r="B125" i="20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V124" i="20"/>
  <c r="I124" i="20"/>
  <c r="B115" i="20"/>
  <c r="F104" i="20"/>
  <c r="AL264" i="20" s="1"/>
  <c r="E104" i="20"/>
  <c r="W264" i="20" s="1"/>
  <c r="D104" i="20"/>
  <c r="I264" i="20" s="1"/>
  <c r="F101" i="20"/>
  <c r="AK264" i="20" s="1"/>
  <c r="AK265" i="20" s="1"/>
  <c r="AK266" i="20" s="1"/>
  <c r="AK267" i="20" s="1"/>
  <c r="AK268" i="20" s="1"/>
  <c r="AK269" i="20" s="1"/>
  <c r="AK270" i="20" s="1"/>
  <c r="AK271" i="20" s="1"/>
  <c r="AK272" i="20" s="1"/>
  <c r="AK273" i="20" s="1"/>
  <c r="AK274" i="20" s="1"/>
  <c r="AK275" i="20" s="1"/>
  <c r="AK276" i="20" s="1"/>
  <c r="AK277" i="20" s="1"/>
  <c r="AK278" i="20" s="1"/>
  <c r="AK279" i="20" s="1"/>
  <c r="AK280" i="20" s="1"/>
  <c r="AK281" i="20" s="1"/>
  <c r="AK282" i="20" s="1"/>
  <c r="AK283" i="20" s="1"/>
  <c r="AK284" i="20" s="1"/>
  <c r="AK285" i="20" s="1"/>
  <c r="AK286" i="20" s="1"/>
  <c r="AK287" i="20" s="1"/>
  <c r="AK288" i="20" s="1"/>
  <c r="E101" i="20"/>
  <c r="V264" i="20" s="1"/>
  <c r="V265" i="20" s="1"/>
  <c r="V266" i="20" s="1"/>
  <c r="V267" i="20" s="1"/>
  <c r="V268" i="20" s="1"/>
  <c r="V269" i="20" s="1"/>
  <c r="V270" i="20" s="1"/>
  <c r="V271" i="20" s="1"/>
  <c r="V272" i="20" s="1"/>
  <c r="V273" i="20" s="1"/>
  <c r="V274" i="20" s="1"/>
  <c r="V275" i="20" s="1"/>
  <c r="V276" i="20" s="1"/>
  <c r="V277" i="20" s="1"/>
  <c r="V278" i="20" s="1"/>
  <c r="V279" i="20" s="1"/>
  <c r="V280" i="20" s="1"/>
  <c r="V281" i="20" s="1"/>
  <c r="V282" i="20" s="1"/>
  <c r="V283" i="20" s="1"/>
  <c r="V284" i="20" s="1"/>
  <c r="V285" i="20" s="1"/>
  <c r="V286" i="20" s="1"/>
  <c r="V287" i="20" s="1"/>
  <c r="V288" i="20" s="1"/>
  <c r="D101" i="20"/>
  <c r="H264" i="20" s="1"/>
  <c r="H265" i="20" s="1"/>
  <c r="H266" i="20" s="1"/>
  <c r="H267" i="20" s="1"/>
  <c r="H268" i="20" s="1"/>
  <c r="H269" i="20" s="1"/>
  <c r="H270" i="20" s="1"/>
  <c r="H271" i="20" s="1"/>
  <c r="H272" i="20" s="1"/>
  <c r="H273" i="20" s="1"/>
  <c r="H274" i="20" s="1"/>
  <c r="H275" i="20" s="1"/>
  <c r="H276" i="20" s="1"/>
  <c r="H277" i="20" s="1"/>
  <c r="H278" i="20" s="1"/>
  <c r="H279" i="20" s="1"/>
  <c r="H280" i="20" s="1"/>
  <c r="H281" i="20" s="1"/>
  <c r="H282" i="20" s="1"/>
  <c r="H283" i="20" s="1"/>
  <c r="H284" i="20" s="1"/>
  <c r="H285" i="20" s="1"/>
  <c r="H286" i="20" s="1"/>
  <c r="H287" i="20" s="1"/>
  <c r="H288" i="20" s="1"/>
  <c r="E100" i="20"/>
  <c r="E98" i="20" s="1"/>
  <c r="T264" i="20" s="1"/>
  <c r="D98" i="20"/>
  <c r="F264" i="20" s="1"/>
  <c r="F97" i="20"/>
  <c r="F94" i="20" s="1"/>
  <c r="E97" i="20"/>
  <c r="E94" i="20" s="1"/>
  <c r="U264" i="20" s="1"/>
  <c r="U265" i="20" s="1"/>
  <c r="U266" i="20" s="1"/>
  <c r="U267" i="20" s="1"/>
  <c r="U268" i="20" s="1"/>
  <c r="U269" i="20" s="1"/>
  <c r="U270" i="20" s="1"/>
  <c r="U271" i="20" s="1"/>
  <c r="U272" i="20" s="1"/>
  <c r="U273" i="20" s="1"/>
  <c r="U274" i="20" s="1"/>
  <c r="U275" i="20" s="1"/>
  <c r="U276" i="20" s="1"/>
  <c r="U277" i="20" s="1"/>
  <c r="U278" i="20" s="1"/>
  <c r="U279" i="20" s="1"/>
  <c r="U280" i="20" s="1"/>
  <c r="U281" i="20" s="1"/>
  <c r="U282" i="20" s="1"/>
  <c r="U283" i="20" s="1"/>
  <c r="U284" i="20" s="1"/>
  <c r="U285" i="20" s="1"/>
  <c r="U286" i="20" s="1"/>
  <c r="U287" i="20" s="1"/>
  <c r="U288" i="20" s="1"/>
  <c r="D97" i="20"/>
  <c r="D94" i="20"/>
  <c r="G264" i="20" s="1"/>
  <c r="G265" i="20" s="1"/>
  <c r="G266" i="20" s="1"/>
  <c r="G267" i="20" s="1"/>
  <c r="G268" i="20" s="1"/>
  <c r="G269" i="20" s="1"/>
  <c r="G270" i="20" s="1"/>
  <c r="G271" i="20" s="1"/>
  <c r="G272" i="20" s="1"/>
  <c r="G273" i="20" s="1"/>
  <c r="G274" i="20" s="1"/>
  <c r="G275" i="20" s="1"/>
  <c r="G276" i="20" s="1"/>
  <c r="G277" i="20" s="1"/>
  <c r="G278" i="20" s="1"/>
  <c r="G279" i="20" s="1"/>
  <c r="G280" i="20" s="1"/>
  <c r="G281" i="20" s="1"/>
  <c r="G282" i="20" s="1"/>
  <c r="G283" i="20" s="1"/>
  <c r="G284" i="20" s="1"/>
  <c r="G285" i="20" s="1"/>
  <c r="G286" i="20" s="1"/>
  <c r="G287" i="20" s="1"/>
  <c r="G288" i="20" s="1"/>
  <c r="F86" i="20"/>
  <c r="E86" i="20"/>
  <c r="D86" i="20"/>
  <c r="W220" i="20"/>
  <c r="E72" i="20"/>
  <c r="F220" i="20"/>
  <c r="F47" i="20"/>
  <c r="AI173" i="20" s="1"/>
  <c r="AI174" i="20" s="1"/>
  <c r="AI175" i="20" s="1"/>
  <c r="AI176" i="20" s="1"/>
  <c r="AI177" i="20" s="1"/>
  <c r="AI178" i="20" s="1"/>
  <c r="AI179" i="20" s="1"/>
  <c r="AI180" i="20" s="1"/>
  <c r="AI181" i="20" s="1"/>
  <c r="AI182" i="20" s="1"/>
  <c r="AI183" i="20" s="1"/>
  <c r="AI184" i="20" s="1"/>
  <c r="AI185" i="20" s="1"/>
  <c r="AI186" i="20" s="1"/>
  <c r="AI187" i="20" s="1"/>
  <c r="AI188" i="20" s="1"/>
  <c r="AI189" i="20" s="1"/>
  <c r="AI190" i="20" s="1"/>
  <c r="AI191" i="20" s="1"/>
  <c r="AI192" i="20" s="1"/>
  <c r="AI193" i="20" s="1"/>
  <c r="AI194" i="20" s="1"/>
  <c r="AI195" i="20" s="1"/>
  <c r="AI196" i="20" s="1"/>
  <c r="AI197" i="20" s="1"/>
  <c r="E47" i="20"/>
  <c r="U173" i="20" s="1"/>
  <c r="U174" i="20" s="1"/>
  <c r="U175" i="20" s="1"/>
  <c r="U176" i="20" s="1"/>
  <c r="U177" i="20" s="1"/>
  <c r="U178" i="20" s="1"/>
  <c r="U179" i="20" s="1"/>
  <c r="U180" i="20" s="1"/>
  <c r="U181" i="20" s="1"/>
  <c r="U182" i="20" s="1"/>
  <c r="U183" i="20" s="1"/>
  <c r="U184" i="20" s="1"/>
  <c r="U185" i="20" s="1"/>
  <c r="U186" i="20" s="1"/>
  <c r="U187" i="20" s="1"/>
  <c r="U188" i="20" s="1"/>
  <c r="U189" i="20" s="1"/>
  <c r="U190" i="20" s="1"/>
  <c r="U191" i="20" s="1"/>
  <c r="U192" i="20" s="1"/>
  <c r="U193" i="20" s="1"/>
  <c r="U194" i="20" s="1"/>
  <c r="U195" i="20" s="1"/>
  <c r="U196" i="20" s="1"/>
  <c r="U197" i="20" s="1"/>
  <c r="D47" i="20"/>
  <c r="H173" i="20" s="1"/>
  <c r="H174" i="20" s="1"/>
  <c r="H175" i="20" s="1"/>
  <c r="H176" i="20" s="1"/>
  <c r="H177" i="20" s="1"/>
  <c r="H178" i="20" s="1"/>
  <c r="H179" i="20" s="1"/>
  <c r="H180" i="20" s="1"/>
  <c r="H181" i="20" s="1"/>
  <c r="H182" i="20" s="1"/>
  <c r="H183" i="20" s="1"/>
  <c r="H184" i="20" s="1"/>
  <c r="H185" i="20" s="1"/>
  <c r="H186" i="20" s="1"/>
  <c r="H187" i="20" s="1"/>
  <c r="H188" i="20" s="1"/>
  <c r="H189" i="20" s="1"/>
  <c r="H190" i="20" s="1"/>
  <c r="H191" i="20" s="1"/>
  <c r="H192" i="20" s="1"/>
  <c r="H193" i="20" s="1"/>
  <c r="H194" i="20" s="1"/>
  <c r="H195" i="20" s="1"/>
  <c r="H196" i="20" s="1"/>
  <c r="H197" i="20" s="1"/>
  <c r="E46" i="20"/>
  <c r="E44" i="20" s="1"/>
  <c r="S173" i="20" s="1"/>
  <c r="D44" i="20"/>
  <c r="F173" i="20" s="1"/>
  <c r="F43" i="20"/>
  <c r="F40" i="20" s="1"/>
  <c r="E43" i="20"/>
  <c r="E40" i="20" s="1"/>
  <c r="D43" i="20"/>
  <c r="D40" i="20" s="1"/>
  <c r="F32" i="20"/>
  <c r="E32" i="20"/>
  <c r="D32" i="20"/>
  <c r="E23" i="20"/>
  <c r="U129" i="20" s="1"/>
  <c r="U130" i="20" s="1"/>
  <c r="U131" i="20" s="1"/>
  <c r="U132" i="20" s="1"/>
  <c r="U133" i="20" s="1"/>
  <c r="U134" i="20" s="1"/>
  <c r="U135" i="20" s="1"/>
  <c r="U136" i="20" s="1"/>
  <c r="U137" i="20" s="1"/>
  <c r="U138" i="20" s="1"/>
  <c r="U139" i="20" s="1"/>
  <c r="U140" i="20" s="1"/>
  <c r="U141" i="20" s="1"/>
  <c r="U142" i="20" s="1"/>
  <c r="U143" i="20" s="1"/>
  <c r="U144" i="20" s="1"/>
  <c r="U145" i="20" s="1"/>
  <c r="U146" i="20" s="1"/>
  <c r="U147" i="20" s="1"/>
  <c r="U148" i="20" s="1"/>
  <c r="U149" i="20" s="1"/>
  <c r="U150" i="20" s="1"/>
  <c r="U151" i="20" s="1"/>
  <c r="U152" i="20" s="1"/>
  <c r="U153" i="20" s="1"/>
  <c r="D23" i="20"/>
  <c r="H129" i="20" s="1"/>
  <c r="H130" i="20" s="1"/>
  <c r="H131" i="20" s="1"/>
  <c r="H132" i="20" s="1"/>
  <c r="H133" i="20" s="1"/>
  <c r="H134" i="20" s="1"/>
  <c r="H135" i="20" s="1"/>
  <c r="H136" i="20" s="1"/>
  <c r="H137" i="20" s="1"/>
  <c r="H138" i="20" s="1"/>
  <c r="H139" i="20" s="1"/>
  <c r="H140" i="20" s="1"/>
  <c r="H141" i="20" s="1"/>
  <c r="H142" i="20" s="1"/>
  <c r="H143" i="20" s="1"/>
  <c r="H144" i="20" s="1"/>
  <c r="H145" i="20" s="1"/>
  <c r="H146" i="20" s="1"/>
  <c r="H147" i="20" s="1"/>
  <c r="H148" i="20" s="1"/>
  <c r="H149" i="20" s="1"/>
  <c r="H150" i="20" s="1"/>
  <c r="H151" i="20" s="1"/>
  <c r="H152" i="20" s="1"/>
  <c r="H153" i="20" s="1"/>
  <c r="E22" i="20"/>
  <c r="E20" i="20" s="1"/>
  <c r="S129" i="20" s="1"/>
  <c r="D20" i="20"/>
  <c r="F129" i="20" s="1"/>
  <c r="E19" i="20"/>
  <c r="E16" i="20" s="1"/>
  <c r="T129" i="20" s="1"/>
  <c r="T130" i="20" s="1"/>
  <c r="T131" i="20" s="1"/>
  <c r="T132" i="20" s="1"/>
  <c r="T133" i="20" s="1"/>
  <c r="T134" i="20" s="1"/>
  <c r="T135" i="20" s="1"/>
  <c r="T136" i="20" s="1"/>
  <c r="T137" i="20" s="1"/>
  <c r="T138" i="20" s="1"/>
  <c r="T139" i="20" s="1"/>
  <c r="T140" i="20" s="1"/>
  <c r="T141" i="20" s="1"/>
  <c r="T142" i="20" s="1"/>
  <c r="T143" i="20" s="1"/>
  <c r="T144" i="20" s="1"/>
  <c r="T145" i="20" s="1"/>
  <c r="T146" i="20" s="1"/>
  <c r="T147" i="20" s="1"/>
  <c r="T148" i="20" s="1"/>
  <c r="T149" i="20" s="1"/>
  <c r="T150" i="20" s="1"/>
  <c r="T151" i="20" s="1"/>
  <c r="T152" i="20" s="1"/>
  <c r="T153" i="20" s="1"/>
  <c r="D19" i="20"/>
  <c r="D16" i="20" s="1"/>
  <c r="G129" i="20" s="1"/>
  <c r="G130" i="20" s="1"/>
  <c r="G131" i="20" s="1"/>
  <c r="G132" i="20" s="1"/>
  <c r="G133" i="20" s="1"/>
  <c r="G134" i="20" s="1"/>
  <c r="G135" i="20" s="1"/>
  <c r="G136" i="20" s="1"/>
  <c r="G137" i="20" s="1"/>
  <c r="G138" i="20" s="1"/>
  <c r="G139" i="20" s="1"/>
  <c r="G140" i="20" s="1"/>
  <c r="G141" i="20" s="1"/>
  <c r="G142" i="20" s="1"/>
  <c r="G143" i="20" s="1"/>
  <c r="G144" i="20" s="1"/>
  <c r="G145" i="20" s="1"/>
  <c r="G146" i="20" s="1"/>
  <c r="G147" i="20" s="1"/>
  <c r="G148" i="20" s="1"/>
  <c r="G149" i="20" s="1"/>
  <c r="G150" i="20" s="1"/>
  <c r="G151" i="20" s="1"/>
  <c r="G152" i="20" s="1"/>
  <c r="G153" i="20" s="1"/>
  <c r="E8" i="20"/>
  <c r="D8" i="20"/>
  <c r="AF289" i="20" l="1"/>
  <c r="E50" i="20"/>
  <c r="F130" i="20"/>
  <c r="F131" i="20" s="1"/>
  <c r="F132" i="20" s="1"/>
  <c r="F133" i="20" s="1"/>
  <c r="F134" i="20" s="1"/>
  <c r="F135" i="20" s="1"/>
  <c r="F136" i="20" s="1"/>
  <c r="F137" i="20" s="1"/>
  <c r="F138" i="20" s="1"/>
  <c r="F139" i="20" s="1"/>
  <c r="F140" i="20" s="1"/>
  <c r="F141" i="20" s="1"/>
  <c r="F142" i="20" s="1"/>
  <c r="F143" i="20" s="1"/>
  <c r="F144" i="20" s="1"/>
  <c r="F145" i="20" s="1"/>
  <c r="F146" i="20" s="1"/>
  <c r="F147" i="20" s="1"/>
  <c r="F148" i="20" s="1"/>
  <c r="F149" i="20" s="1"/>
  <c r="F150" i="20" s="1"/>
  <c r="F151" i="20" s="1"/>
  <c r="F152" i="20" s="1"/>
  <c r="F153" i="20" s="1"/>
  <c r="S174" i="20"/>
  <c r="S220" i="20"/>
  <c r="S130" i="20"/>
  <c r="S131" i="20" s="1"/>
  <c r="S132" i="20" s="1"/>
  <c r="S133" i="20" s="1"/>
  <c r="S134" i="20" s="1"/>
  <c r="S135" i="20" s="1"/>
  <c r="S136" i="20" s="1"/>
  <c r="S137" i="20" s="1"/>
  <c r="S138" i="20" s="1"/>
  <c r="S139" i="20" s="1"/>
  <c r="S140" i="20" s="1"/>
  <c r="S141" i="20" s="1"/>
  <c r="S142" i="20" s="1"/>
  <c r="S143" i="20" s="1"/>
  <c r="S144" i="20" s="1"/>
  <c r="S145" i="20" s="1"/>
  <c r="S146" i="20" s="1"/>
  <c r="S147" i="20" s="1"/>
  <c r="S148" i="20" s="1"/>
  <c r="S149" i="20" s="1"/>
  <c r="S150" i="20" s="1"/>
  <c r="S151" i="20" s="1"/>
  <c r="S152" i="20" s="1"/>
  <c r="S153" i="20" s="1"/>
  <c r="E67" i="20"/>
  <c r="C154" i="20"/>
  <c r="E15" i="20"/>
  <c r="R129" i="20" s="1"/>
  <c r="V129" i="20" s="1"/>
  <c r="E66" i="20"/>
  <c r="U220" i="20" s="1"/>
  <c r="U221" i="20" s="1"/>
  <c r="U222" i="20" s="1"/>
  <c r="U223" i="20" s="1"/>
  <c r="U224" i="20" s="1"/>
  <c r="U225" i="20" s="1"/>
  <c r="U226" i="20" s="1"/>
  <c r="U227" i="20" s="1"/>
  <c r="U228" i="20" s="1"/>
  <c r="U229" i="20" s="1"/>
  <c r="U230" i="20" s="1"/>
  <c r="U231" i="20" s="1"/>
  <c r="U232" i="20" s="1"/>
  <c r="U233" i="20" s="1"/>
  <c r="U234" i="20" s="1"/>
  <c r="U235" i="20" s="1"/>
  <c r="U236" i="20" s="1"/>
  <c r="U237" i="20" s="1"/>
  <c r="U238" i="20" s="1"/>
  <c r="U239" i="20" s="1"/>
  <c r="U240" i="20" s="1"/>
  <c r="U241" i="20" s="1"/>
  <c r="U242" i="20" s="1"/>
  <c r="U243" i="20" s="1"/>
  <c r="U244" i="20" s="1"/>
  <c r="G173" i="20"/>
  <c r="G174" i="20" s="1"/>
  <c r="G175" i="20" s="1"/>
  <c r="G176" i="20" s="1"/>
  <c r="G177" i="20" s="1"/>
  <c r="G178" i="20" s="1"/>
  <c r="G179" i="20" s="1"/>
  <c r="G180" i="20" s="1"/>
  <c r="G181" i="20" s="1"/>
  <c r="G182" i="20" s="1"/>
  <c r="G183" i="20" s="1"/>
  <c r="G184" i="20" s="1"/>
  <c r="G185" i="20" s="1"/>
  <c r="G186" i="20" s="1"/>
  <c r="G187" i="20" s="1"/>
  <c r="G188" i="20" s="1"/>
  <c r="G189" i="20" s="1"/>
  <c r="G190" i="20" s="1"/>
  <c r="G191" i="20" s="1"/>
  <c r="G192" i="20" s="1"/>
  <c r="G193" i="20" s="1"/>
  <c r="G194" i="20" s="1"/>
  <c r="G195" i="20" s="1"/>
  <c r="G196" i="20" s="1"/>
  <c r="G197" i="20" s="1"/>
  <c r="D50" i="20"/>
  <c r="F174" i="20"/>
  <c r="AE198" i="20"/>
  <c r="F100" i="20"/>
  <c r="F98" i="20" s="1"/>
  <c r="AI264" i="20" s="1"/>
  <c r="AI265" i="20" s="1"/>
  <c r="AI266" i="20" s="1"/>
  <c r="AI267" i="20" s="1"/>
  <c r="AI268" i="20" s="1"/>
  <c r="AI269" i="20" s="1"/>
  <c r="AI270" i="20" s="1"/>
  <c r="AI271" i="20" s="1"/>
  <c r="AI272" i="20" s="1"/>
  <c r="AI273" i="20" s="1"/>
  <c r="AI274" i="20" s="1"/>
  <c r="AI275" i="20" s="1"/>
  <c r="AI276" i="20" s="1"/>
  <c r="AI277" i="20" s="1"/>
  <c r="AI278" i="20" s="1"/>
  <c r="AI279" i="20" s="1"/>
  <c r="AI280" i="20" s="1"/>
  <c r="AI281" i="20" s="1"/>
  <c r="AI282" i="20" s="1"/>
  <c r="AI283" i="20" s="1"/>
  <c r="AI284" i="20" s="1"/>
  <c r="AI285" i="20" s="1"/>
  <c r="AI286" i="20" s="1"/>
  <c r="AI287" i="20" s="1"/>
  <c r="AI288" i="20" s="1"/>
  <c r="I265" i="20"/>
  <c r="I266" i="20" s="1"/>
  <c r="I267" i="20" s="1"/>
  <c r="I268" i="20" s="1"/>
  <c r="I269" i="20" s="1"/>
  <c r="I270" i="20" s="1"/>
  <c r="I271" i="20" s="1"/>
  <c r="I272" i="20" s="1"/>
  <c r="I273" i="20" s="1"/>
  <c r="I274" i="20" s="1"/>
  <c r="I275" i="20" s="1"/>
  <c r="I276" i="20" s="1"/>
  <c r="I277" i="20" s="1"/>
  <c r="I278" i="20" s="1"/>
  <c r="I279" i="20" s="1"/>
  <c r="I280" i="20" s="1"/>
  <c r="I281" i="20" s="1"/>
  <c r="I282" i="20" s="1"/>
  <c r="I283" i="20" s="1"/>
  <c r="I284" i="20" s="1"/>
  <c r="I285" i="20" s="1"/>
  <c r="I286" i="20" s="1"/>
  <c r="I287" i="20" s="1"/>
  <c r="I288" i="20" s="1"/>
  <c r="AD198" i="20"/>
  <c r="F46" i="20"/>
  <c r="F44" i="20" s="1"/>
  <c r="AG173" i="20" s="1"/>
  <c r="AG174" i="20" s="1"/>
  <c r="J264" i="20"/>
  <c r="W265" i="20"/>
  <c r="W266" i="20" s="1"/>
  <c r="W267" i="20" s="1"/>
  <c r="W268" i="20" s="1"/>
  <c r="W269" i="20" s="1"/>
  <c r="W270" i="20" s="1"/>
  <c r="W271" i="20" s="1"/>
  <c r="W272" i="20" s="1"/>
  <c r="W273" i="20" s="1"/>
  <c r="W274" i="20" s="1"/>
  <c r="W275" i="20" s="1"/>
  <c r="W276" i="20" s="1"/>
  <c r="W277" i="20" s="1"/>
  <c r="W278" i="20" s="1"/>
  <c r="W279" i="20" s="1"/>
  <c r="W280" i="20" s="1"/>
  <c r="W281" i="20" s="1"/>
  <c r="W282" i="20" s="1"/>
  <c r="W283" i="20" s="1"/>
  <c r="W284" i="20" s="1"/>
  <c r="W285" i="20" s="1"/>
  <c r="W286" i="20" s="1"/>
  <c r="W287" i="20" s="1"/>
  <c r="W288" i="20" s="1"/>
  <c r="AF245" i="20"/>
  <c r="AF246" i="20" s="1"/>
  <c r="E265" i="20"/>
  <c r="E266" i="20" s="1"/>
  <c r="AL265" i="20"/>
  <c r="AL266" i="20" s="1"/>
  <c r="AL267" i="20" s="1"/>
  <c r="AL268" i="20" s="1"/>
  <c r="AL269" i="20" s="1"/>
  <c r="AL270" i="20" s="1"/>
  <c r="AL271" i="20" s="1"/>
  <c r="AL272" i="20" s="1"/>
  <c r="AL273" i="20" s="1"/>
  <c r="AL274" i="20" s="1"/>
  <c r="AL275" i="20" s="1"/>
  <c r="AL276" i="20" s="1"/>
  <c r="AL277" i="20" s="1"/>
  <c r="AL278" i="20" s="1"/>
  <c r="AL279" i="20" s="1"/>
  <c r="AL280" i="20" s="1"/>
  <c r="AL281" i="20" s="1"/>
  <c r="AL282" i="20" s="1"/>
  <c r="AL283" i="20" s="1"/>
  <c r="AL284" i="20" s="1"/>
  <c r="AL285" i="20" s="1"/>
  <c r="AL286" i="20" s="1"/>
  <c r="AL287" i="20" s="1"/>
  <c r="AL288" i="20" s="1"/>
  <c r="I220" i="20"/>
  <c r="C19" i="22"/>
  <c r="C11" i="22"/>
  <c r="D198" i="20"/>
  <c r="D199" i="20" s="1"/>
  <c r="AH173" i="20"/>
  <c r="AH174" i="20" s="1"/>
  <c r="AH175" i="20" s="1"/>
  <c r="AH176" i="20" s="1"/>
  <c r="AH177" i="20" s="1"/>
  <c r="AH178" i="20" s="1"/>
  <c r="AH179" i="20" s="1"/>
  <c r="AH180" i="20" s="1"/>
  <c r="AH181" i="20" s="1"/>
  <c r="AH182" i="20" s="1"/>
  <c r="AH183" i="20" s="1"/>
  <c r="AH184" i="20" s="1"/>
  <c r="AH185" i="20" s="1"/>
  <c r="AH186" i="20" s="1"/>
  <c r="AH187" i="20" s="1"/>
  <c r="AH188" i="20" s="1"/>
  <c r="AH189" i="20" s="1"/>
  <c r="AH190" i="20" s="1"/>
  <c r="AH191" i="20" s="1"/>
  <c r="AH192" i="20" s="1"/>
  <c r="AH193" i="20" s="1"/>
  <c r="AH194" i="20" s="1"/>
  <c r="AH195" i="20" s="1"/>
  <c r="AH196" i="20" s="1"/>
  <c r="AH197" i="20" s="1"/>
  <c r="AJ264" i="20"/>
  <c r="AJ265" i="20" s="1"/>
  <c r="AJ266" i="20" s="1"/>
  <c r="AJ267" i="20" s="1"/>
  <c r="AJ268" i="20" s="1"/>
  <c r="AJ269" i="20" s="1"/>
  <c r="AJ270" i="20" s="1"/>
  <c r="AJ271" i="20" s="1"/>
  <c r="AJ272" i="20" s="1"/>
  <c r="AJ273" i="20" s="1"/>
  <c r="AJ274" i="20" s="1"/>
  <c r="AJ275" i="20" s="1"/>
  <c r="AJ276" i="20" s="1"/>
  <c r="AJ277" i="20" s="1"/>
  <c r="AJ278" i="20" s="1"/>
  <c r="AJ279" i="20" s="1"/>
  <c r="AJ280" i="20" s="1"/>
  <c r="AJ281" i="20" s="1"/>
  <c r="AJ282" i="20" s="1"/>
  <c r="AJ283" i="20" s="1"/>
  <c r="AJ284" i="20" s="1"/>
  <c r="AJ285" i="20" s="1"/>
  <c r="AJ286" i="20" s="1"/>
  <c r="AJ287" i="20" s="1"/>
  <c r="AJ288" i="20" s="1"/>
  <c r="AM220" i="20"/>
  <c r="AQ220" i="20" s="1"/>
  <c r="F265" i="20"/>
  <c r="F266" i="20" s="1"/>
  <c r="F267" i="20" s="1"/>
  <c r="F268" i="20" s="1"/>
  <c r="F269" i="20" s="1"/>
  <c r="F270" i="20" s="1"/>
  <c r="F271" i="20" s="1"/>
  <c r="F272" i="20" s="1"/>
  <c r="F273" i="20" s="1"/>
  <c r="F274" i="20" s="1"/>
  <c r="F275" i="20" s="1"/>
  <c r="F276" i="20" s="1"/>
  <c r="F277" i="20" s="1"/>
  <c r="F278" i="20" s="1"/>
  <c r="F279" i="20" s="1"/>
  <c r="F280" i="20" s="1"/>
  <c r="F281" i="20" s="1"/>
  <c r="F282" i="20" s="1"/>
  <c r="F283" i="20" s="1"/>
  <c r="F284" i="20" s="1"/>
  <c r="F285" i="20" s="1"/>
  <c r="F286" i="20" s="1"/>
  <c r="F287" i="20" s="1"/>
  <c r="F288" i="20" s="1"/>
  <c r="T173" i="20"/>
  <c r="T174" i="20" s="1"/>
  <c r="T175" i="20" s="1"/>
  <c r="T176" i="20" s="1"/>
  <c r="T177" i="20" s="1"/>
  <c r="T178" i="20" s="1"/>
  <c r="T179" i="20" s="1"/>
  <c r="T180" i="20" s="1"/>
  <c r="T181" i="20" s="1"/>
  <c r="T182" i="20" s="1"/>
  <c r="T183" i="20" s="1"/>
  <c r="T184" i="20" s="1"/>
  <c r="T185" i="20" s="1"/>
  <c r="T186" i="20" s="1"/>
  <c r="T187" i="20" s="1"/>
  <c r="T188" i="20" s="1"/>
  <c r="T189" i="20" s="1"/>
  <c r="T190" i="20" s="1"/>
  <c r="T191" i="20" s="1"/>
  <c r="T192" i="20" s="1"/>
  <c r="T193" i="20" s="1"/>
  <c r="T194" i="20" s="1"/>
  <c r="T195" i="20" s="1"/>
  <c r="T196" i="20" s="1"/>
  <c r="T197" i="20" s="1"/>
  <c r="J175" i="20"/>
  <c r="J176" i="20" s="1"/>
  <c r="J177" i="20" s="1"/>
  <c r="J178" i="20" s="1"/>
  <c r="J179" i="20" s="1"/>
  <c r="J180" i="20" s="1"/>
  <c r="J181" i="20" s="1"/>
  <c r="J182" i="20" s="1"/>
  <c r="J183" i="20" s="1"/>
  <c r="J184" i="20" s="1"/>
  <c r="J185" i="20" s="1"/>
  <c r="J186" i="20" s="1"/>
  <c r="J187" i="20" s="1"/>
  <c r="J188" i="20" s="1"/>
  <c r="J189" i="20" s="1"/>
  <c r="J190" i="20" s="1"/>
  <c r="J191" i="20" s="1"/>
  <c r="J192" i="20" s="1"/>
  <c r="J193" i="20" s="1"/>
  <c r="J194" i="20" s="1"/>
  <c r="J195" i="20" s="1"/>
  <c r="J196" i="20" s="1"/>
  <c r="J197" i="20" s="1"/>
  <c r="R174" i="20"/>
  <c r="AN217" i="20"/>
  <c r="AN218" i="20" s="1"/>
  <c r="AN219" i="20" s="1"/>
  <c r="AH265" i="20"/>
  <c r="D15" i="20"/>
  <c r="E220" i="20"/>
  <c r="T265" i="20"/>
  <c r="T266" i="20" s="1"/>
  <c r="T267" i="20" s="1"/>
  <c r="T268" i="20" s="1"/>
  <c r="T269" i="20" s="1"/>
  <c r="T270" i="20" s="1"/>
  <c r="T271" i="20" s="1"/>
  <c r="T272" i="20" s="1"/>
  <c r="T273" i="20" s="1"/>
  <c r="T274" i="20" s="1"/>
  <c r="T275" i="20" s="1"/>
  <c r="T276" i="20" s="1"/>
  <c r="T277" i="20" s="1"/>
  <c r="T278" i="20" s="1"/>
  <c r="T279" i="20" s="1"/>
  <c r="T280" i="20" s="1"/>
  <c r="T281" i="20" s="1"/>
  <c r="T282" i="20" s="1"/>
  <c r="T283" i="20" s="1"/>
  <c r="T284" i="20" s="1"/>
  <c r="T285" i="20" s="1"/>
  <c r="T286" i="20" s="1"/>
  <c r="T287" i="20" s="1"/>
  <c r="T288" i="20" s="1"/>
  <c r="Y264" i="20"/>
  <c r="D107" i="20"/>
  <c r="Q144" i="20"/>
  <c r="Q154" i="20" s="1"/>
  <c r="P154" i="20"/>
  <c r="P155" i="20" s="1"/>
  <c r="J155" i="20"/>
  <c r="Q198" i="20"/>
  <c r="Q199" i="20" s="1"/>
  <c r="E26" i="20"/>
  <c r="E107" i="20"/>
  <c r="D144" i="20"/>
  <c r="E174" i="20"/>
  <c r="W199" i="20"/>
  <c r="AF174" i="20"/>
  <c r="P198" i="20"/>
  <c r="P199" i="20" s="1"/>
  <c r="K261" i="20"/>
  <c r="K262" i="20" s="1"/>
  <c r="K263" i="20" s="1"/>
  <c r="AG279" i="20"/>
  <c r="AN291" i="20"/>
  <c r="C155" i="20"/>
  <c r="W155" i="20"/>
  <c r="C198" i="20"/>
  <c r="C199" i="20" s="1"/>
  <c r="C289" i="20"/>
  <c r="C292" i="20" s="1"/>
  <c r="Z261" i="20"/>
  <c r="Z262" i="20" s="1"/>
  <c r="Z263" i="20" s="1"/>
  <c r="AG245" i="20"/>
  <c r="AG246" i="20" s="1"/>
  <c r="D289" i="20"/>
  <c r="D291" i="20" s="1"/>
  <c r="R280" i="20"/>
  <c r="Q289" i="20"/>
  <c r="Q290" i="20" s="1"/>
  <c r="AN292" i="20"/>
  <c r="AN290" i="20"/>
  <c r="R279" i="20"/>
  <c r="AF290" i="20"/>
  <c r="AF291" i="20"/>
  <c r="AF292" i="20"/>
  <c r="S265" i="20"/>
  <c r="N264" i="20" l="1"/>
  <c r="D67" i="20"/>
  <c r="D66" i="20" s="1"/>
  <c r="G220" i="20" s="1"/>
  <c r="G221" i="20" s="1"/>
  <c r="G222" i="20" s="1"/>
  <c r="G223" i="20" s="1"/>
  <c r="G224" i="20" s="1"/>
  <c r="G225" i="20" s="1"/>
  <c r="G226" i="20" s="1"/>
  <c r="G227" i="20" s="1"/>
  <c r="G228" i="20" s="1"/>
  <c r="G229" i="20" s="1"/>
  <c r="G230" i="20" s="1"/>
  <c r="G231" i="20" s="1"/>
  <c r="G232" i="20" s="1"/>
  <c r="G233" i="20" s="1"/>
  <c r="G234" i="20" s="1"/>
  <c r="G235" i="20" s="1"/>
  <c r="G236" i="20" s="1"/>
  <c r="G237" i="20" s="1"/>
  <c r="G238" i="20" s="1"/>
  <c r="G239" i="20" s="1"/>
  <c r="G240" i="20" s="1"/>
  <c r="G241" i="20" s="1"/>
  <c r="G242" i="20" s="1"/>
  <c r="G243" i="20" s="1"/>
  <c r="G244" i="20" s="1"/>
  <c r="R130" i="20"/>
  <c r="R131" i="20" s="1"/>
  <c r="F107" i="20"/>
  <c r="I173" i="20"/>
  <c r="M173" i="20" s="1"/>
  <c r="J199" i="20"/>
  <c r="F175" i="20"/>
  <c r="F176" i="20" s="1"/>
  <c r="F177" i="20" s="1"/>
  <c r="F178" i="20" s="1"/>
  <c r="F179" i="20" s="1"/>
  <c r="F180" i="20" s="1"/>
  <c r="F181" i="20" s="1"/>
  <c r="F182" i="20" s="1"/>
  <c r="F183" i="20" s="1"/>
  <c r="F184" i="20" s="1"/>
  <c r="F185" i="20" s="1"/>
  <c r="F186" i="20" s="1"/>
  <c r="F187" i="20" s="1"/>
  <c r="F188" i="20" s="1"/>
  <c r="F189" i="20" s="1"/>
  <c r="F190" i="20" s="1"/>
  <c r="F191" i="20" s="1"/>
  <c r="F192" i="20" s="1"/>
  <c r="F193" i="20" s="1"/>
  <c r="F194" i="20" s="1"/>
  <c r="F195" i="20" s="1"/>
  <c r="F196" i="20" s="1"/>
  <c r="F197" i="20" s="1"/>
  <c r="J265" i="20"/>
  <c r="J290" i="20" s="1"/>
  <c r="Z291" i="20"/>
  <c r="F50" i="20"/>
  <c r="D290" i="20"/>
  <c r="C291" i="20"/>
  <c r="AN246" i="20"/>
  <c r="C290" i="20"/>
  <c r="AG289" i="20"/>
  <c r="AG292" i="20" s="1"/>
  <c r="Q291" i="20"/>
  <c r="V173" i="20"/>
  <c r="AA173" i="20" s="1"/>
  <c r="K290" i="20"/>
  <c r="S175" i="20"/>
  <c r="S176" i="20" s="1"/>
  <c r="S177" i="20" s="1"/>
  <c r="S178" i="20" s="1"/>
  <c r="S179" i="20" s="1"/>
  <c r="S180" i="20" s="1"/>
  <c r="S181" i="20" s="1"/>
  <c r="S182" i="20" s="1"/>
  <c r="S183" i="20" s="1"/>
  <c r="S184" i="20" s="1"/>
  <c r="S185" i="20" s="1"/>
  <c r="S186" i="20" s="1"/>
  <c r="S187" i="20" s="1"/>
  <c r="S188" i="20" s="1"/>
  <c r="S189" i="20" s="1"/>
  <c r="S190" i="20" s="1"/>
  <c r="S191" i="20" s="1"/>
  <c r="S192" i="20" s="1"/>
  <c r="S193" i="20" s="1"/>
  <c r="S194" i="20" s="1"/>
  <c r="S195" i="20" s="1"/>
  <c r="S196" i="20" s="1"/>
  <c r="S197" i="20" s="1"/>
  <c r="AJ174" i="20"/>
  <c r="AF175" i="20"/>
  <c r="AH266" i="20"/>
  <c r="AM265" i="20"/>
  <c r="D292" i="20"/>
  <c r="S266" i="20"/>
  <c r="Y265" i="20"/>
  <c r="Y292" i="20" s="1"/>
  <c r="Q292" i="20"/>
  <c r="E267" i="20"/>
  <c r="J266" i="20"/>
  <c r="Z290" i="20"/>
  <c r="E129" i="20"/>
  <c r="D26" i="20"/>
  <c r="D154" i="20"/>
  <c r="D155" i="20" s="1"/>
  <c r="AG175" i="20"/>
  <c r="AG176" i="20" s="1"/>
  <c r="AG177" i="20" s="1"/>
  <c r="AG178" i="20" s="1"/>
  <c r="AG179" i="20" s="1"/>
  <c r="AG180" i="20" s="1"/>
  <c r="AG181" i="20" s="1"/>
  <c r="AG182" i="20" s="1"/>
  <c r="AG183" i="20" s="1"/>
  <c r="AG184" i="20" s="1"/>
  <c r="AG185" i="20" s="1"/>
  <c r="AG186" i="20" s="1"/>
  <c r="AG187" i="20" s="1"/>
  <c r="AG188" i="20" s="1"/>
  <c r="AG189" i="20" s="1"/>
  <c r="AG190" i="20" s="1"/>
  <c r="AG191" i="20" s="1"/>
  <c r="AG192" i="20" s="1"/>
  <c r="AG193" i="20" s="1"/>
  <c r="AG194" i="20" s="1"/>
  <c r="AG195" i="20" s="1"/>
  <c r="AG196" i="20" s="1"/>
  <c r="AG197" i="20" s="1"/>
  <c r="E175" i="20"/>
  <c r="I174" i="20"/>
  <c r="I199" i="20" s="1"/>
  <c r="K199" i="20" s="1"/>
  <c r="AC264" i="20"/>
  <c r="R175" i="20"/>
  <c r="V174" i="20"/>
  <c r="AA129" i="20"/>
  <c r="K292" i="20"/>
  <c r="R289" i="20"/>
  <c r="Z292" i="20"/>
  <c r="K291" i="20"/>
  <c r="Q155" i="20"/>
  <c r="AM264" i="20"/>
  <c r="AJ173" i="20"/>
  <c r="J291" i="20" l="1"/>
  <c r="L290" i="20"/>
  <c r="V130" i="20"/>
  <c r="V155" i="20" s="1"/>
  <c r="Y155" i="20" s="1"/>
  <c r="D299" i="20" s="1"/>
  <c r="V199" i="20"/>
  <c r="Y199" i="20" s="1"/>
  <c r="J292" i="20"/>
  <c r="L292" i="20" s="1"/>
  <c r="AG291" i="20"/>
  <c r="L291" i="20"/>
  <c r="AG290" i="20"/>
  <c r="AN173" i="20"/>
  <c r="Y290" i="20"/>
  <c r="R291" i="20"/>
  <c r="R292" i="20"/>
  <c r="AA292" i="20" s="1"/>
  <c r="I129" i="20"/>
  <c r="E130" i="20"/>
  <c r="V131" i="20"/>
  <c r="R132" i="20"/>
  <c r="Y291" i="20"/>
  <c r="E268" i="20"/>
  <c r="J267" i="20"/>
  <c r="AF176" i="20"/>
  <c r="AJ175" i="20"/>
  <c r="R176" i="20"/>
  <c r="V175" i="20"/>
  <c r="AQ264" i="20"/>
  <c r="AM292" i="20"/>
  <c r="AO292" i="20" s="1"/>
  <c r="AM291" i="20"/>
  <c r="AM290" i="20"/>
  <c r="E176" i="20"/>
  <c r="I175" i="20"/>
  <c r="S267" i="20"/>
  <c r="Y266" i="20"/>
  <c r="AH267" i="20"/>
  <c r="AM266" i="20"/>
  <c r="R290" i="20"/>
  <c r="AO290" i="20" l="1"/>
  <c r="AO291" i="20"/>
  <c r="AA290" i="20"/>
  <c r="S268" i="20"/>
  <c r="Y267" i="20"/>
  <c r="R177" i="20"/>
  <c r="V176" i="20"/>
  <c r="E131" i="20"/>
  <c r="I130" i="20"/>
  <c r="I155" i="20" s="1"/>
  <c r="K155" i="20" s="1"/>
  <c r="C299" i="20" s="1"/>
  <c r="E269" i="20"/>
  <c r="J268" i="20"/>
  <c r="M129" i="20"/>
  <c r="AH268" i="20"/>
  <c r="AM267" i="20"/>
  <c r="I176" i="20"/>
  <c r="E177" i="20"/>
  <c r="AF177" i="20"/>
  <c r="AJ176" i="20"/>
  <c r="R133" i="20"/>
  <c r="V132" i="20"/>
  <c r="AA291" i="20"/>
  <c r="I177" i="20" l="1"/>
  <c r="E178" i="20"/>
  <c r="S269" i="20"/>
  <c r="Y268" i="20"/>
  <c r="V177" i="20"/>
  <c r="R178" i="20"/>
  <c r="V133" i="20"/>
  <c r="R134" i="20"/>
  <c r="I131" i="20"/>
  <c r="E132" i="20"/>
  <c r="AF178" i="20"/>
  <c r="AJ177" i="20"/>
  <c r="AH269" i="20"/>
  <c r="AM268" i="20"/>
  <c r="E270" i="20"/>
  <c r="J269" i="20"/>
  <c r="C4" i="16"/>
  <c r="R19" i="18"/>
  <c r="U19" i="18" s="1"/>
  <c r="Z19" i="18" s="1"/>
  <c r="AA19" i="18" s="1"/>
  <c r="R20" i="18"/>
  <c r="U20" i="18" s="1"/>
  <c r="Z20" i="18" s="1"/>
  <c r="AA20" i="18" s="1"/>
  <c r="R21" i="18"/>
  <c r="U21" i="18" s="1"/>
  <c r="Z21" i="18" s="1"/>
  <c r="AA21" i="18" s="1"/>
  <c r="AE21" i="18" s="1"/>
  <c r="R22" i="18"/>
  <c r="U22" i="18" s="1"/>
  <c r="Z22" i="18" s="1"/>
  <c r="AA22" i="18" s="1"/>
  <c r="R23" i="18"/>
  <c r="U23" i="18" s="1"/>
  <c r="Z23" i="18" s="1"/>
  <c r="AA23" i="18" s="1"/>
  <c r="R24" i="18"/>
  <c r="U24" i="18" s="1"/>
  <c r="Z24" i="18" s="1"/>
  <c r="AA24" i="18" s="1"/>
  <c r="R25" i="18"/>
  <c r="U25" i="18" s="1"/>
  <c r="Z25" i="18" s="1"/>
  <c r="AA25" i="18" s="1"/>
  <c r="R26" i="18"/>
  <c r="U26" i="18" s="1"/>
  <c r="Z26" i="18" s="1"/>
  <c r="AA26" i="18" s="1"/>
  <c r="R27" i="18"/>
  <c r="U27" i="18" s="1"/>
  <c r="Z27" i="18" s="1"/>
  <c r="AA27" i="18" s="1"/>
  <c r="R28" i="18"/>
  <c r="U28" i="18" s="1"/>
  <c r="Z28" i="18" s="1"/>
  <c r="AA28" i="18" s="1"/>
  <c r="R29" i="18"/>
  <c r="U29" i="18" s="1"/>
  <c r="Z29" i="18" s="1"/>
  <c r="AA29" i="18" s="1"/>
  <c r="AE29" i="18" s="1"/>
  <c r="R30" i="18"/>
  <c r="U30" i="18" s="1"/>
  <c r="Z30" i="18" s="1"/>
  <c r="AA30" i="18" s="1"/>
  <c r="R31" i="18"/>
  <c r="U31" i="18" s="1"/>
  <c r="Z31" i="18" s="1"/>
  <c r="AA31" i="18" s="1"/>
  <c r="R32" i="18"/>
  <c r="U32" i="18" s="1"/>
  <c r="Z32" i="18" s="1"/>
  <c r="AA32" i="18" s="1"/>
  <c r="R33" i="18"/>
  <c r="U33" i="18" s="1"/>
  <c r="Z33" i="18" s="1"/>
  <c r="AA33" i="18" s="1"/>
  <c r="R34" i="18"/>
  <c r="U34" i="18" s="1"/>
  <c r="Z34" i="18" s="1"/>
  <c r="AA34" i="18" s="1"/>
  <c r="R35" i="18"/>
  <c r="U35" i="18" s="1"/>
  <c r="Z35" i="18" s="1"/>
  <c r="AA35" i="18" s="1"/>
  <c r="R18" i="18"/>
  <c r="U18" i="18" s="1"/>
  <c r="Z18" i="18" s="1"/>
  <c r="AA18" i="18" s="1"/>
  <c r="AE18" i="18" s="1"/>
  <c r="R17" i="18"/>
  <c r="U17" i="18" s="1"/>
  <c r="Z17" i="18" s="1"/>
  <c r="AA17" i="18" s="1"/>
  <c r="E133" i="20" l="1"/>
  <c r="I132" i="20"/>
  <c r="R135" i="20"/>
  <c r="V134" i="20"/>
  <c r="E271" i="20"/>
  <c r="J270" i="20"/>
  <c r="AJ178" i="20"/>
  <c r="AF179" i="20"/>
  <c r="S270" i="20"/>
  <c r="Y269" i="20"/>
  <c r="AH270" i="20"/>
  <c r="AM269" i="20"/>
  <c r="V178" i="20"/>
  <c r="R179" i="20"/>
  <c r="I178" i="20"/>
  <c r="E179" i="20"/>
  <c r="AE35" i="18"/>
  <c r="AG35" i="18"/>
  <c r="AG25" i="18"/>
  <c r="AF25" i="18"/>
  <c r="AG33" i="18"/>
  <c r="AF33" i="18"/>
  <c r="AE31" i="18"/>
  <c r="AG31" i="18"/>
  <c r="AF32" i="18"/>
  <c r="AE32" i="18"/>
  <c r="AE28" i="18"/>
  <c r="AG28" i="18"/>
  <c r="AF28" i="18"/>
  <c r="AF24" i="18"/>
  <c r="AE24" i="18"/>
  <c r="AE20" i="18"/>
  <c r="AF20" i="18"/>
  <c r="AG20" i="18"/>
  <c r="AE23" i="18"/>
  <c r="AG23" i="18"/>
  <c r="AE27" i="18"/>
  <c r="AG27" i="18"/>
  <c r="AE19" i="18"/>
  <c r="AF19" i="18"/>
  <c r="AE34" i="18"/>
  <c r="AF34" i="18"/>
  <c r="AG34" i="18"/>
  <c r="AF30" i="18"/>
  <c r="AG30" i="18"/>
  <c r="AE30" i="18"/>
  <c r="AF26" i="18"/>
  <c r="AG26" i="18"/>
  <c r="AE26" i="18"/>
  <c r="AF22" i="18"/>
  <c r="AE22" i="18"/>
  <c r="AG22" i="18"/>
  <c r="AG18" i="18"/>
  <c r="AG32" i="18"/>
  <c r="AF29" i="18"/>
  <c r="AG24" i="18"/>
  <c r="AF21" i="18"/>
  <c r="AF18" i="18"/>
  <c r="AE33" i="18"/>
  <c r="AG29" i="18"/>
  <c r="AE25" i="18"/>
  <c r="F25" i="21" s="1"/>
  <c r="AG21" i="18"/>
  <c r="AG19" i="18"/>
  <c r="AE17" i="18"/>
  <c r="AF17" i="18"/>
  <c r="AF35" i="18"/>
  <c r="AF31" i="18"/>
  <c r="AF27" i="18"/>
  <c r="AF23" i="18"/>
  <c r="AG17" i="18"/>
  <c r="AF180" i="20" l="1"/>
  <c r="AJ179" i="20"/>
  <c r="I133" i="20"/>
  <c r="E134" i="20"/>
  <c r="E180" i="20"/>
  <c r="I179" i="20"/>
  <c r="V179" i="20"/>
  <c r="R180" i="20"/>
  <c r="AM270" i="20"/>
  <c r="AH271" i="20"/>
  <c r="S271" i="20"/>
  <c r="Y270" i="20"/>
  <c r="J271" i="20"/>
  <c r="E272" i="20"/>
  <c r="V135" i="20"/>
  <c r="R136" i="20"/>
  <c r="Z26" i="10"/>
  <c r="Z25" i="10"/>
  <c r="Z24" i="10"/>
  <c r="Z23" i="10"/>
  <c r="Z22" i="10"/>
  <c r="Z21" i="10"/>
  <c r="Z20" i="10"/>
  <c r="Z19" i="10"/>
  <c r="Z18" i="10"/>
  <c r="Z17" i="10"/>
  <c r="Z16" i="10"/>
  <c r="Z15" i="10"/>
  <c r="Z14" i="10"/>
  <c r="Z45" i="10"/>
  <c r="AD45" i="10" s="1"/>
  <c r="Z44" i="10"/>
  <c r="Z43" i="10"/>
  <c r="AF43" i="10" s="1"/>
  <c r="Z42" i="10"/>
  <c r="AE42" i="10" s="1"/>
  <c r="Z41" i="10"/>
  <c r="AD41" i="10" s="1"/>
  <c r="Z40" i="10"/>
  <c r="Z39" i="10"/>
  <c r="AF39" i="10" s="1"/>
  <c r="Z38" i="10"/>
  <c r="AE38" i="10" s="1"/>
  <c r="Z37" i="10"/>
  <c r="AD37" i="10" s="1"/>
  <c r="Z36" i="10"/>
  <c r="AF36" i="10" s="1"/>
  <c r="Z35" i="10"/>
  <c r="AF35" i="10" s="1"/>
  <c r="Z34" i="10"/>
  <c r="AE34" i="10" s="1"/>
  <c r="Z33" i="10"/>
  <c r="AE33" i="10" s="1"/>
  <c r="Z64" i="10"/>
  <c r="AF64" i="10" s="1"/>
  <c r="Z63" i="10"/>
  <c r="AD63" i="10" s="1"/>
  <c r="Z62" i="10"/>
  <c r="AD62" i="10" s="1"/>
  <c r="Z61" i="10"/>
  <c r="AD61" i="10" s="1"/>
  <c r="Z60" i="10"/>
  <c r="AE60" i="10" s="1"/>
  <c r="Z59" i="10"/>
  <c r="AF59" i="10" s="1"/>
  <c r="Z58" i="10"/>
  <c r="AF58" i="10" s="1"/>
  <c r="Z57" i="10"/>
  <c r="AD57" i="10" s="1"/>
  <c r="Z56" i="10"/>
  <c r="Z55" i="10"/>
  <c r="AF55" i="10" s="1"/>
  <c r="Z54" i="10"/>
  <c r="AF54" i="10" s="1"/>
  <c r="Z53" i="10"/>
  <c r="AD53" i="10" s="1"/>
  <c r="Z52" i="10"/>
  <c r="AF52" i="10" s="1"/>
  <c r="Z83" i="10"/>
  <c r="AE83" i="10" s="1"/>
  <c r="Z82" i="10"/>
  <c r="AD82" i="10" s="1"/>
  <c r="Z81" i="10"/>
  <c r="AD81" i="10" s="1"/>
  <c r="Z80" i="10"/>
  <c r="Z79" i="10"/>
  <c r="AD79" i="10" s="1"/>
  <c r="Z78" i="10"/>
  <c r="AE78" i="10" s="1"/>
  <c r="Z77" i="10"/>
  <c r="AD77" i="10" s="1"/>
  <c r="Z76" i="10"/>
  <c r="Z75" i="10"/>
  <c r="AD75" i="10" s="1"/>
  <c r="Z74" i="10"/>
  <c r="AD74" i="10" s="1"/>
  <c r="Z73" i="10"/>
  <c r="AF73" i="10" s="1"/>
  <c r="Z72" i="10"/>
  <c r="AD72" i="10" s="1"/>
  <c r="Z71" i="10"/>
  <c r="AD71" i="10" s="1"/>
  <c r="Z102" i="10"/>
  <c r="AE102" i="10" s="1"/>
  <c r="Z101" i="10"/>
  <c r="AD101" i="10" s="1"/>
  <c r="Z100" i="10"/>
  <c r="AF100" i="10" s="1"/>
  <c r="Z99" i="10"/>
  <c r="AF99" i="10" s="1"/>
  <c r="Z98" i="10"/>
  <c r="AF98" i="10" s="1"/>
  <c r="Z97" i="10"/>
  <c r="AD97" i="10" s="1"/>
  <c r="Z96" i="10"/>
  <c r="Z95" i="10"/>
  <c r="AD95" i="10" s="1"/>
  <c r="Z94" i="10"/>
  <c r="AF94" i="10" s="1"/>
  <c r="Z93" i="10"/>
  <c r="AD93" i="10" s="1"/>
  <c r="Z92" i="10"/>
  <c r="Z91" i="10"/>
  <c r="AD91" i="10" s="1"/>
  <c r="Z90" i="10"/>
  <c r="AE90" i="10" s="1"/>
  <c r="Z121" i="10"/>
  <c r="AD121" i="10" s="1"/>
  <c r="Z120" i="10"/>
  <c r="AF120" i="10" s="1"/>
  <c r="Z119" i="10"/>
  <c r="AD119" i="10" s="1"/>
  <c r="Z118" i="10"/>
  <c r="AF118" i="10" s="1"/>
  <c r="Z117" i="10"/>
  <c r="AF117" i="10" s="1"/>
  <c r="Z116" i="10"/>
  <c r="AF116" i="10" s="1"/>
  <c r="Z115" i="10"/>
  <c r="AD115" i="10" s="1"/>
  <c r="Z114" i="10"/>
  <c r="AE114" i="10" s="1"/>
  <c r="Z113" i="10"/>
  <c r="AD113" i="10" s="1"/>
  <c r="Z112" i="10"/>
  <c r="AD112" i="10" s="1"/>
  <c r="Z111" i="10"/>
  <c r="AD111" i="10" s="1"/>
  <c r="Z110" i="10"/>
  <c r="AF110" i="10" s="1"/>
  <c r="Z109" i="10"/>
  <c r="AF109" i="10" s="1"/>
  <c r="Z159" i="10"/>
  <c r="AD159" i="10" s="1"/>
  <c r="Z158" i="10"/>
  <c r="AF158" i="10" s="1"/>
  <c r="Z157" i="10"/>
  <c r="AD157" i="10" s="1"/>
  <c r="Z156" i="10"/>
  <c r="AF156" i="10" s="1"/>
  <c r="Z155" i="10"/>
  <c r="Z154" i="10"/>
  <c r="AE154" i="10" s="1"/>
  <c r="Z153" i="10"/>
  <c r="AE153" i="10" s="1"/>
  <c r="Z152" i="10"/>
  <c r="AF152" i="10" s="1"/>
  <c r="Z151" i="10"/>
  <c r="AF151" i="10" s="1"/>
  <c r="Z150" i="10"/>
  <c r="AF150" i="10" s="1"/>
  <c r="Z149" i="10"/>
  <c r="AD149" i="10" s="1"/>
  <c r="Z148" i="10"/>
  <c r="AF148" i="10" s="1"/>
  <c r="Z147" i="10"/>
  <c r="AF147" i="10" s="1"/>
  <c r="Z140" i="10"/>
  <c r="AF140" i="10" s="1"/>
  <c r="Z139" i="10"/>
  <c r="AE139" i="10" s="1"/>
  <c r="Z138" i="10"/>
  <c r="AE138" i="10" s="1"/>
  <c r="Z137" i="10"/>
  <c r="AE137" i="10" s="1"/>
  <c r="Z136" i="10"/>
  <c r="AF136" i="10" s="1"/>
  <c r="Z135" i="10"/>
  <c r="AD135" i="10" s="1"/>
  <c r="Z134" i="10"/>
  <c r="AE134" i="10" s="1"/>
  <c r="Z133" i="10"/>
  <c r="AD133" i="10" s="1"/>
  <c r="Z132" i="10"/>
  <c r="AF132" i="10" s="1"/>
  <c r="Z131" i="10"/>
  <c r="AE131" i="10" s="1"/>
  <c r="Z130" i="10"/>
  <c r="AE130" i="10" s="1"/>
  <c r="Z129" i="10"/>
  <c r="AE129" i="10" s="1"/>
  <c r="Z128" i="10"/>
  <c r="AF155" i="10"/>
  <c r="AD99" i="10"/>
  <c r="AF96" i="10"/>
  <c r="AE92" i="10"/>
  <c r="AF82" i="10"/>
  <c r="AE56" i="10"/>
  <c r="AD55" i="10"/>
  <c r="AE128" i="10"/>
  <c r="AF157" i="10"/>
  <c r="AE157" i="10"/>
  <c r="AD155" i="10"/>
  <c r="AF154" i="10"/>
  <c r="AF153" i="10"/>
  <c r="AF128" i="10"/>
  <c r="AE99" i="10"/>
  <c r="AE96" i="10"/>
  <c r="AD96" i="10"/>
  <c r="AF92" i="10"/>
  <c r="AE91" i="10"/>
  <c r="AF80" i="10"/>
  <c r="AE80" i="10"/>
  <c r="AD80" i="10"/>
  <c r="AF76" i="10"/>
  <c r="AE76" i="10"/>
  <c r="AD76" i="10"/>
  <c r="AD58" i="10"/>
  <c r="AF56" i="10"/>
  <c r="AE55" i="10"/>
  <c r="AD54" i="10"/>
  <c r="AE52" i="10"/>
  <c r="AD52" i="10"/>
  <c r="AF44" i="10"/>
  <c r="AE44" i="10"/>
  <c r="AD44" i="10"/>
  <c r="AF40" i="10"/>
  <c r="AE40" i="10"/>
  <c r="AD40" i="10"/>
  <c r="AE36" i="10"/>
  <c r="AD36" i="10"/>
  <c r="AF72" i="10" l="1"/>
  <c r="AF60" i="10"/>
  <c r="AF139" i="10"/>
  <c r="AE100" i="10"/>
  <c r="AD147" i="10"/>
  <c r="AF149" i="10"/>
  <c r="AD129" i="10"/>
  <c r="AE64" i="10"/>
  <c r="AD151" i="10"/>
  <c r="AE72" i="10"/>
  <c r="AE150" i="10"/>
  <c r="AE151" i="10"/>
  <c r="AE159" i="10"/>
  <c r="AF159" i="10"/>
  <c r="AD140" i="10"/>
  <c r="AD150" i="10"/>
  <c r="AD60" i="10"/>
  <c r="AD158" i="10"/>
  <c r="AF102" i="10"/>
  <c r="AE112" i="10"/>
  <c r="AE158" i="10"/>
  <c r="AD137" i="10"/>
  <c r="AE116" i="10"/>
  <c r="AF112" i="10"/>
  <c r="AD116" i="10"/>
  <c r="AD120" i="10"/>
  <c r="AE62" i="10"/>
  <c r="AE120" i="10"/>
  <c r="AF62" i="10"/>
  <c r="AF133" i="10"/>
  <c r="AD132" i="10"/>
  <c r="AE113" i="10"/>
  <c r="AE74" i="10"/>
  <c r="AE82" i="10"/>
  <c r="AD94" i="10"/>
  <c r="AD98" i="10"/>
  <c r="AF74" i="10"/>
  <c r="AE121" i="10"/>
  <c r="AE54" i="10"/>
  <c r="AE77" i="10"/>
  <c r="AF38" i="10"/>
  <c r="AE41" i="10"/>
  <c r="AF90" i="10"/>
  <c r="AE94" i="10"/>
  <c r="AF81" i="10"/>
  <c r="AF41" i="10"/>
  <c r="AF77" i="10"/>
  <c r="AF113" i="10"/>
  <c r="AD117" i="10"/>
  <c r="AF121" i="10"/>
  <c r="AF37" i="10"/>
  <c r="AE58" i="10"/>
  <c r="AE61" i="10"/>
  <c r="AD73" i="10"/>
  <c r="AF78" i="10"/>
  <c r="AE98" i="10"/>
  <c r="AD102" i="10"/>
  <c r="AF114" i="10"/>
  <c r="AE135" i="10"/>
  <c r="AF45" i="10"/>
  <c r="AD109" i="10"/>
  <c r="AF33" i="10"/>
  <c r="AF131" i="10"/>
  <c r="AF135" i="10"/>
  <c r="AE149" i="10"/>
  <c r="E135" i="20"/>
  <c r="I134" i="20"/>
  <c r="AM271" i="20"/>
  <c r="AH272" i="20"/>
  <c r="R137" i="20"/>
  <c r="V136" i="20"/>
  <c r="J272" i="20"/>
  <c r="E273" i="20"/>
  <c r="R181" i="20"/>
  <c r="V180" i="20"/>
  <c r="Y271" i="20"/>
  <c r="S272" i="20"/>
  <c r="I180" i="20"/>
  <c r="E181" i="20"/>
  <c r="AF181" i="20"/>
  <c r="AJ180" i="20"/>
  <c r="AE63" i="10"/>
  <c r="AF91" i="10"/>
  <c r="AD83" i="10"/>
  <c r="AF95" i="10"/>
  <c r="AD59" i="10"/>
  <c r="AF63" i="10"/>
  <c r="AD90" i="10"/>
  <c r="AD110" i="10"/>
  <c r="AE111" i="10"/>
  <c r="AD131" i="10"/>
  <c r="AD139" i="10"/>
  <c r="AD153" i="10"/>
  <c r="AE110" i="10"/>
  <c r="AD118" i="10"/>
  <c r="AE118" i="10"/>
  <c r="AD35" i="10"/>
  <c r="AD39" i="10"/>
  <c r="AD43" i="10"/>
  <c r="AE57" i="10"/>
  <c r="AE79" i="10"/>
  <c r="AE101" i="10"/>
  <c r="AF130" i="10"/>
  <c r="AD148" i="10"/>
  <c r="AD152" i="10"/>
  <c r="AE35" i="10"/>
  <c r="AE39" i="10"/>
  <c r="AE43" i="10"/>
  <c r="AE53" i="10"/>
  <c r="AE75" i="10"/>
  <c r="AE97" i="10"/>
  <c r="AE119" i="10"/>
  <c r="AE71" i="10"/>
  <c r="AE93" i="10"/>
  <c r="AE115" i="10"/>
  <c r="AF134" i="10"/>
  <c r="AF138" i="10"/>
  <c r="AD156" i="10"/>
  <c r="AF34" i="10"/>
  <c r="AF42" i="10"/>
  <c r="AE45" i="10"/>
  <c r="AD56" i="10"/>
  <c r="AE59" i="10"/>
  <c r="AD64" i="10"/>
  <c r="AE73" i="10"/>
  <c r="AD78" i="10"/>
  <c r="AE81" i="10"/>
  <c r="AD92" i="10"/>
  <c r="AE95" i="10"/>
  <c r="AD100" i="10"/>
  <c r="AE109" i="10"/>
  <c r="AD114" i="10"/>
  <c r="AE117" i="10"/>
  <c r="AD136" i="10"/>
  <c r="AE147" i="10"/>
  <c r="AD154" i="10"/>
  <c r="AE155" i="10"/>
  <c r="AE37" i="10"/>
  <c r="AF57" i="10"/>
  <c r="AF61" i="10"/>
  <c r="AF71" i="10"/>
  <c r="AF75" i="10"/>
  <c r="AF79" i="10"/>
  <c r="AF83" i="10"/>
  <c r="AF93" i="10"/>
  <c r="AF97" i="10"/>
  <c r="AF101" i="10"/>
  <c r="AF111" i="10"/>
  <c r="AF115" i="10"/>
  <c r="AF119" i="10"/>
  <c r="AE148" i="10"/>
  <c r="AE152" i="10"/>
  <c r="AE156" i="10"/>
  <c r="AF53" i="10"/>
  <c r="AD130" i="10"/>
  <c r="AD134" i="10"/>
  <c r="AD138" i="10"/>
  <c r="AD34" i="10"/>
  <c r="AD38" i="10"/>
  <c r="AD42" i="10"/>
  <c r="AD33" i="10"/>
  <c r="AE133" i="10"/>
  <c r="AF129" i="10"/>
  <c r="AE132" i="10"/>
  <c r="AE136" i="10"/>
  <c r="AF137" i="10"/>
  <c r="AE140" i="10"/>
  <c r="AD128" i="10"/>
  <c r="F49" i="14"/>
  <c r="F48" i="14"/>
  <c r="F47" i="14"/>
  <c r="F13" i="14"/>
  <c r="F14" i="14"/>
  <c r="F34" i="21" l="1"/>
  <c r="H32" i="21"/>
  <c r="J273" i="20"/>
  <c r="E274" i="20"/>
  <c r="V137" i="20"/>
  <c r="R138" i="20"/>
  <c r="Y272" i="20"/>
  <c r="S273" i="20"/>
  <c r="E182" i="20"/>
  <c r="I181" i="20"/>
  <c r="AM272" i="20"/>
  <c r="AH273" i="20"/>
  <c r="AF182" i="20"/>
  <c r="AJ181" i="20"/>
  <c r="V181" i="20"/>
  <c r="R182" i="20"/>
  <c r="I135" i="20"/>
  <c r="E136" i="20"/>
  <c r="F50" i="14"/>
  <c r="H34" i="21" l="1"/>
  <c r="F44" i="21"/>
  <c r="G25" i="21"/>
  <c r="D60" i="20" s="1"/>
  <c r="AM273" i="20"/>
  <c r="AH274" i="20"/>
  <c r="E137" i="20"/>
  <c r="I136" i="20"/>
  <c r="V182" i="20"/>
  <c r="R183" i="20"/>
  <c r="Y273" i="20"/>
  <c r="S274" i="20"/>
  <c r="J274" i="20"/>
  <c r="E275" i="20"/>
  <c r="V138" i="20"/>
  <c r="R139" i="20"/>
  <c r="AJ182" i="20"/>
  <c r="AF183" i="20"/>
  <c r="E183" i="20"/>
  <c r="I182" i="20"/>
  <c r="F44" i="14"/>
  <c r="F43" i="14"/>
  <c r="F42" i="14"/>
  <c r="F39" i="14"/>
  <c r="F38" i="14"/>
  <c r="F37" i="14"/>
  <c r="F34" i="14"/>
  <c r="F33" i="14"/>
  <c r="F32" i="14"/>
  <c r="F29" i="14"/>
  <c r="F28" i="14"/>
  <c r="F27" i="14"/>
  <c r="F24" i="14"/>
  <c r="F23" i="14"/>
  <c r="F22" i="14"/>
  <c r="F19" i="14"/>
  <c r="F18" i="14"/>
  <c r="F17" i="14"/>
  <c r="F12" i="14"/>
  <c r="D59" i="20" s="1"/>
  <c r="F9" i="14"/>
  <c r="F8" i="14"/>
  <c r="F7" i="14"/>
  <c r="F3" i="14"/>
  <c r="F4" i="14"/>
  <c r="F2" i="14"/>
  <c r="E59" i="20" l="1"/>
  <c r="Q219" i="20" s="1"/>
  <c r="D58" i="20"/>
  <c r="C219" i="20"/>
  <c r="D73" i="20"/>
  <c r="H220" i="20" s="1"/>
  <c r="C216" i="20"/>
  <c r="C217" i="20"/>
  <c r="C218" i="20"/>
  <c r="D216" i="20"/>
  <c r="D217" i="20"/>
  <c r="D236" i="20" s="1"/>
  <c r="D218" i="20"/>
  <c r="D237" i="20" s="1"/>
  <c r="D219" i="20"/>
  <c r="D238" i="20" s="1"/>
  <c r="G44" i="21"/>
  <c r="E60" i="20" s="1"/>
  <c r="H44" i="21"/>
  <c r="H25" i="21"/>
  <c r="Y274" i="20"/>
  <c r="S275" i="20"/>
  <c r="I137" i="20"/>
  <c r="E138" i="20"/>
  <c r="AJ183" i="20"/>
  <c r="AF184" i="20"/>
  <c r="J275" i="20"/>
  <c r="E276" i="20"/>
  <c r="V183" i="20"/>
  <c r="R184" i="20"/>
  <c r="AM274" i="20"/>
  <c r="AH275" i="20"/>
  <c r="R140" i="20"/>
  <c r="V139" i="20"/>
  <c r="E184" i="20"/>
  <c r="I183" i="20"/>
  <c r="F45" i="14"/>
  <c r="F35" i="14"/>
  <c r="F10" i="14"/>
  <c r="F40" i="14"/>
  <c r="F5" i="14"/>
  <c r="F25" i="14"/>
  <c r="F20" i="14"/>
  <c r="F15" i="14"/>
  <c r="F30" i="14"/>
  <c r="G6" i="11"/>
  <c r="Q217" i="20" l="1"/>
  <c r="Q216" i="20"/>
  <c r="Q218" i="20"/>
  <c r="C245" i="20"/>
  <c r="C246" i="20" s="1"/>
  <c r="R217" i="20"/>
  <c r="R236" i="20" s="1"/>
  <c r="R219" i="20"/>
  <c r="R238" i="20" s="1"/>
  <c r="R218" i="20"/>
  <c r="R237" i="20" s="1"/>
  <c r="R216" i="20"/>
  <c r="E58" i="20"/>
  <c r="D235" i="20"/>
  <c r="D245" i="20" s="1"/>
  <c r="D64" i="20"/>
  <c r="E73" i="20"/>
  <c r="H221" i="20"/>
  <c r="J220" i="20"/>
  <c r="J276" i="20"/>
  <c r="E277" i="20"/>
  <c r="AJ184" i="20"/>
  <c r="AF185" i="20"/>
  <c r="AM275" i="20"/>
  <c r="AH276" i="20"/>
  <c r="R185" i="20"/>
  <c r="V184" i="20"/>
  <c r="Y275" i="20"/>
  <c r="S276" i="20"/>
  <c r="E139" i="20"/>
  <c r="I138" i="20"/>
  <c r="V140" i="20"/>
  <c r="R141" i="20"/>
  <c r="I184" i="20"/>
  <c r="E185" i="20"/>
  <c r="AF26" i="9"/>
  <c r="AE26" i="9"/>
  <c r="AD26" i="9"/>
  <c r="AF25" i="9"/>
  <c r="AE25" i="9"/>
  <c r="AD25" i="9"/>
  <c r="AF24" i="9"/>
  <c r="AE24" i="9"/>
  <c r="AD24" i="9"/>
  <c r="AF23" i="9"/>
  <c r="AE23" i="9"/>
  <c r="AD23" i="9"/>
  <c r="AF22" i="9"/>
  <c r="AE22" i="9"/>
  <c r="AD22" i="9"/>
  <c r="AF21" i="9"/>
  <c r="AE21" i="9"/>
  <c r="AD21" i="9"/>
  <c r="AF20" i="9"/>
  <c r="AE20" i="9"/>
  <c r="AD20" i="9"/>
  <c r="AF19" i="9"/>
  <c r="AE19" i="9"/>
  <c r="AD19" i="9"/>
  <c r="AF18" i="9"/>
  <c r="AE18" i="9"/>
  <c r="AD18" i="9"/>
  <c r="AF17" i="9"/>
  <c r="AE17" i="9"/>
  <c r="AD17" i="9"/>
  <c r="AF16" i="9"/>
  <c r="AE16" i="9"/>
  <c r="AD16" i="9"/>
  <c r="AF15" i="9"/>
  <c r="AE15" i="9"/>
  <c r="AD15" i="9"/>
  <c r="AF14" i="9"/>
  <c r="AE14" i="9"/>
  <c r="AD14" i="9"/>
  <c r="AF26" i="8"/>
  <c r="AE26" i="8"/>
  <c r="AD26" i="8"/>
  <c r="AF25" i="8"/>
  <c r="AE25" i="8"/>
  <c r="AD25" i="8"/>
  <c r="AF24" i="8"/>
  <c r="AE24" i="8"/>
  <c r="AD24" i="8"/>
  <c r="AF23" i="8"/>
  <c r="AE23" i="8"/>
  <c r="AD23" i="8"/>
  <c r="AF22" i="8"/>
  <c r="AE22" i="8"/>
  <c r="AD22" i="8"/>
  <c r="AF21" i="8"/>
  <c r="AE21" i="8"/>
  <c r="AD21" i="8"/>
  <c r="AF20" i="8"/>
  <c r="AE20" i="8"/>
  <c r="AD20" i="8"/>
  <c r="AF19" i="8"/>
  <c r="AE19" i="8"/>
  <c r="AD19" i="8"/>
  <c r="AF18" i="8"/>
  <c r="AE18" i="8"/>
  <c r="AD18" i="8"/>
  <c r="AF17" i="8"/>
  <c r="AE17" i="8"/>
  <c r="AD17" i="8"/>
  <c r="AF16" i="8"/>
  <c r="AE16" i="8"/>
  <c r="AD16" i="8"/>
  <c r="AF15" i="8"/>
  <c r="AE15" i="8"/>
  <c r="AD15" i="8"/>
  <c r="AF14" i="8"/>
  <c r="AE14" i="8"/>
  <c r="AD14" i="8"/>
  <c r="AF26" i="7"/>
  <c r="AE26" i="7"/>
  <c r="AD26" i="7"/>
  <c r="AF25" i="7"/>
  <c r="AE25" i="7"/>
  <c r="AD25" i="7"/>
  <c r="AF24" i="7"/>
  <c r="AE24" i="7"/>
  <c r="AD24" i="7"/>
  <c r="AF23" i="7"/>
  <c r="AE23" i="7"/>
  <c r="AD23" i="7"/>
  <c r="AF22" i="7"/>
  <c r="AE22" i="7"/>
  <c r="AD22" i="7"/>
  <c r="AF21" i="7"/>
  <c r="AE21" i="7"/>
  <c r="AD21" i="7"/>
  <c r="AF20" i="7"/>
  <c r="AE20" i="7"/>
  <c r="AD20" i="7"/>
  <c r="AF19" i="7"/>
  <c r="AE19" i="7"/>
  <c r="AD19" i="7"/>
  <c r="AF18" i="7"/>
  <c r="AE18" i="7"/>
  <c r="AD18" i="7"/>
  <c r="AF17" i="7"/>
  <c r="AE17" i="7"/>
  <c r="AD17" i="7"/>
  <c r="AF16" i="7"/>
  <c r="AE16" i="7"/>
  <c r="AD16" i="7"/>
  <c r="AF15" i="7"/>
  <c r="AE15" i="7"/>
  <c r="AD15" i="7"/>
  <c r="AF14" i="7"/>
  <c r="AE14" i="7"/>
  <c r="AD14" i="7"/>
  <c r="AF26" i="6"/>
  <c r="AE26" i="6"/>
  <c r="AD26" i="6"/>
  <c r="AF25" i="6"/>
  <c r="AE25" i="6"/>
  <c r="AD25" i="6"/>
  <c r="AF24" i="6"/>
  <c r="AE24" i="6"/>
  <c r="AD24" i="6"/>
  <c r="AF23" i="6"/>
  <c r="AE23" i="6"/>
  <c r="AD23" i="6"/>
  <c r="AF22" i="6"/>
  <c r="AE22" i="6"/>
  <c r="AD22" i="6"/>
  <c r="AF21" i="6"/>
  <c r="AE21" i="6"/>
  <c r="AD21" i="6"/>
  <c r="AF20" i="6"/>
  <c r="AE20" i="6"/>
  <c r="AD20" i="6"/>
  <c r="AF19" i="6"/>
  <c r="AE19" i="6"/>
  <c r="AD19" i="6"/>
  <c r="AF18" i="6"/>
  <c r="AE18" i="6"/>
  <c r="AD18" i="6"/>
  <c r="AF17" i="6"/>
  <c r="AE17" i="6"/>
  <c r="AD17" i="6"/>
  <c r="AF16" i="6"/>
  <c r="AE16" i="6"/>
  <c r="AD16" i="6"/>
  <c r="AF15" i="6"/>
  <c r="AE15" i="6"/>
  <c r="AD15" i="6"/>
  <c r="AF14" i="6"/>
  <c r="AE14" i="6"/>
  <c r="AD14" i="6"/>
  <c r="Q245" i="20" l="1"/>
  <c r="Q246" i="20" s="1"/>
  <c r="D246" i="20"/>
  <c r="R235" i="20"/>
  <c r="R245" i="20" s="1"/>
  <c r="N220" i="20"/>
  <c r="V220" i="20"/>
  <c r="H222" i="20"/>
  <c r="I139" i="20"/>
  <c r="E140" i="20"/>
  <c r="E186" i="20"/>
  <c r="I185" i="20"/>
  <c r="AM276" i="20"/>
  <c r="AH277" i="20"/>
  <c r="R142" i="20"/>
  <c r="V141" i="20"/>
  <c r="Y276" i="20"/>
  <c r="S277" i="20"/>
  <c r="AF186" i="20"/>
  <c r="AJ185" i="20"/>
  <c r="E278" i="20"/>
  <c r="J277" i="20"/>
  <c r="V185" i="20"/>
  <c r="R186" i="20"/>
  <c r="AF26" i="5"/>
  <c r="AE26" i="5"/>
  <c r="AD26" i="5"/>
  <c r="AF25" i="5"/>
  <c r="AE25" i="5"/>
  <c r="AD25" i="5"/>
  <c r="AF24" i="5"/>
  <c r="AE24" i="5"/>
  <c r="AD24" i="5"/>
  <c r="AF23" i="5"/>
  <c r="AE23" i="5"/>
  <c r="AD23" i="5"/>
  <c r="AF22" i="5"/>
  <c r="AE22" i="5"/>
  <c r="AD22" i="5"/>
  <c r="AF21" i="5"/>
  <c r="AE21" i="5"/>
  <c r="AD21" i="5"/>
  <c r="AF20" i="5"/>
  <c r="AE20" i="5"/>
  <c r="AD20" i="5"/>
  <c r="AF19" i="5"/>
  <c r="AE19" i="5"/>
  <c r="AD19" i="5"/>
  <c r="AF18" i="5"/>
  <c r="AE18" i="5"/>
  <c r="AD18" i="5"/>
  <c r="AF17" i="5"/>
  <c r="AE17" i="5"/>
  <c r="AD17" i="5"/>
  <c r="AF16" i="5"/>
  <c r="AE16" i="5"/>
  <c r="AD16" i="5"/>
  <c r="AF15" i="5"/>
  <c r="AE15" i="5"/>
  <c r="AD15" i="5"/>
  <c r="AF14" i="5"/>
  <c r="AE14" i="5"/>
  <c r="AD14" i="5"/>
  <c r="AF26" i="4"/>
  <c r="AE26" i="4"/>
  <c r="AD26" i="4"/>
  <c r="AF25" i="4"/>
  <c r="AE25" i="4"/>
  <c r="AD25" i="4"/>
  <c r="AF24" i="4"/>
  <c r="AE24" i="4"/>
  <c r="AD24" i="4"/>
  <c r="AF23" i="4"/>
  <c r="AE23" i="4"/>
  <c r="AD23" i="4"/>
  <c r="AF22" i="4"/>
  <c r="AE22" i="4"/>
  <c r="AD22" i="4"/>
  <c r="AF21" i="4"/>
  <c r="AE21" i="4"/>
  <c r="AD21" i="4"/>
  <c r="AF20" i="4"/>
  <c r="AE20" i="4"/>
  <c r="AD20" i="4"/>
  <c r="AF19" i="4"/>
  <c r="AE19" i="4"/>
  <c r="AD19" i="4"/>
  <c r="AF18" i="4"/>
  <c r="AE18" i="4"/>
  <c r="AD18" i="4"/>
  <c r="AF17" i="4"/>
  <c r="AE17" i="4"/>
  <c r="AD17" i="4"/>
  <c r="AF16" i="4"/>
  <c r="AE16" i="4"/>
  <c r="AD16" i="4"/>
  <c r="AF15" i="4"/>
  <c r="AE15" i="4"/>
  <c r="AD15" i="4"/>
  <c r="AF14" i="4"/>
  <c r="AE14" i="4"/>
  <c r="AD14" i="4"/>
  <c r="AF26" i="3"/>
  <c r="AE26" i="3"/>
  <c r="AD26" i="3"/>
  <c r="AF25" i="3"/>
  <c r="AE25" i="3"/>
  <c r="AD25" i="3"/>
  <c r="AF24" i="3"/>
  <c r="AE24" i="3"/>
  <c r="AD24" i="3"/>
  <c r="AF23" i="3"/>
  <c r="AE23" i="3"/>
  <c r="AD23" i="3"/>
  <c r="AF22" i="3"/>
  <c r="AE22" i="3"/>
  <c r="AD22" i="3"/>
  <c r="AF21" i="3"/>
  <c r="AE21" i="3"/>
  <c r="AD21" i="3"/>
  <c r="AF20" i="3"/>
  <c r="AE20" i="3"/>
  <c r="AD20" i="3"/>
  <c r="AF19" i="3"/>
  <c r="AE19" i="3"/>
  <c r="AD19" i="3"/>
  <c r="AF18" i="3"/>
  <c r="AE18" i="3"/>
  <c r="AD18" i="3"/>
  <c r="AF17" i="3"/>
  <c r="AE17" i="3"/>
  <c r="AD17" i="3"/>
  <c r="AF16" i="3"/>
  <c r="AE16" i="3"/>
  <c r="AD16" i="3"/>
  <c r="AF15" i="3"/>
  <c r="AE15" i="3"/>
  <c r="AD15" i="3"/>
  <c r="AF14" i="3"/>
  <c r="AE14" i="3"/>
  <c r="AD14" i="3"/>
  <c r="R246" i="20" l="1"/>
  <c r="V221" i="20"/>
  <c r="H223" i="20"/>
  <c r="R143" i="20"/>
  <c r="V142" i="20"/>
  <c r="AM277" i="20"/>
  <c r="AH278" i="20"/>
  <c r="AF187" i="20"/>
  <c r="AJ186" i="20"/>
  <c r="R187" i="20"/>
  <c r="V186" i="20"/>
  <c r="S278" i="20"/>
  <c r="Y277" i="20"/>
  <c r="E141" i="20"/>
  <c r="I140" i="20"/>
  <c r="J278" i="20"/>
  <c r="E279" i="20"/>
  <c r="E187" i="20"/>
  <c r="I186" i="20"/>
  <c r="AF26" i="10"/>
  <c r="AE26" i="10"/>
  <c r="AD26" i="10"/>
  <c r="AF25" i="10"/>
  <c r="AE25" i="10"/>
  <c r="AD25" i="10"/>
  <c r="AF24" i="10"/>
  <c r="AE24" i="10"/>
  <c r="AD24" i="10"/>
  <c r="AF23" i="10"/>
  <c r="AE23" i="10"/>
  <c r="AD23" i="10"/>
  <c r="AF22" i="10"/>
  <c r="AE22" i="10"/>
  <c r="AD22" i="10"/>
  <c r="AF21" i="10"/>
  <c r="AE21" i="10"/>
  <c r="AD21" i="10"/>
  <c r="AF20" i="10"/>
  <c r="AE20" i="10"/>
  <c r="AD20" i="10"/>
  <c r="AF19" i="10"/>
  <c r="AE19" i="10"/>
  <c r="AD19" i="10"/>
  <c r="AF18" i="10"/>
  <c r="AE18" i="10"/>
  <c r="AD18" i="10"/>
  <c r="AF17" i="10"/>
  <c r="AE17" i="10"/>
  <c r="AD17" i="10"/>
  <c r="AF16" i="10"/>
  <c r="AE16" i="10"/>
  <c r="AD16" i="10"/>
  <c r="AF15" i="10"/>
  <c r="AE15" i="10"/>
  <c r="AD15" i="10"/>
  <c r="AF14" i="10"/>
  <c r="AE14" i="10"/>
  <c r="AD14" i="10"/>
  <c r="G22" i="12"/>
  <c r="H22" i="12" s="1"/>
  <c r="G21" i="12"/>
  <c r="H21" i="12" s="1"/>
  <c r="G20" i="12"/>
  <c r="H20" i="12" s="1"/>
  <c r="G19" i="12"/>
  <c r="H19" i="12" s="1"/>
  <c r="G18" i="12"/>
  <c r="H18" i="12" s="1"/>
  <c r="G17" i="12"/>
  <c r="H17" i="12" s="1"/>
  <c r="G16" i="12"/>
  <c r="H16" i="12" s="1"/>
  <c r="G15" i="12"/>
  <c r="H15" i="12" s="1"/>
  <c r="G14" i="12"/>
  <c r="H14" i="12" s="1"/>
  <c r="G13" i="12"/>
  <c r="H13" i="12" s="1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5" i="12"/>
  <c r="H5" i="12" s="1"/>
  <c r="V222" i="20" l="1"/>
  <c r="H224" i="20"/>
  <c r="J279" i="20"/>
  <c r="E280" i="20"/>
  <c r="R188" i="20"/>
  <c r="V187" i="20"/>
  <c r="AH279" i="20"/>
  <c r="AM278" i="20"/>
  <c r="E188" i="20"/>
  <c r="I187" i="20"/>
  <c r="I141" i="20"/>
  <c r="E142" i="20"/>
  <c r="S279" i="20"/>
  <c r="Y278" i="20"/>
  <c r="AF188" i="20"/>
  <c r="AJ187" i="20"/>
  <c r="R144" i="20"/>
  <c r="V143" i="20"/>
  <c r="V223" i="20" l="1"/>
  <c r="H225" i="20"/>
  <c r="R189" i="20"/>
  <c r="V188" i="20"/>
  <c r="E143" i="20"/>
  <c r="I142" i="20"/>
  <c r="AF189" i="20"/>
  <c r="AJ188" i="20"/>
  <c r="E281" i="20"/>
  <c r="J280" i="20"/>
  <c r="R145" i="20"/>
  <c r="V144" i="20"/>
  <c r="Y279" i="20"/>
  <c r="S280" i="20"/>
  <c r="E189" i="20"/>
  <c r="I188" i="20"/>
  <c r="AH280" i="20"/>
  <c r="AM279" i="20"/>
  <c r="V224" i="20" l="1"/>
  <c r="H226" i="20"/>
  <c r="E144" i="20"/>
  <c r="I143" i="20"/>
  <c r="Y280" i="20"/>
  <c r="S281" i="20"/>
  <c r="AM280" i="20"/>
  <c r="AH281" i="20"/>
  <c r="E190" i="20"/>
  <c r="I189" i="20"/>
  <c r="R146" i="20"/>
  <c r="V145" i="20"/>
  <c r="E282" i="20"/>
  <c r="J281" i="20"/>
  <c r="AF190" i="20"/>
  <c r="AJ189" i="20"/>
  <c r="R190" i="20"/>
  <c r="V189" i="20"/>
  <c r="V225" i="20" l="1"/>
  <c r="H227" i="20"/>
  <c r="AF191" i="20"/>
  <c r="AJ190" i="20"/>
  <c r="S282" i="20"/>
  <c r="Y281" i="20"/>
  <c r="AM281" i="20"/>
  <c r="AH282" i="20"/>
  <c r="R147" i="20"/>
  <c r="V146" i="20"/>
  <c r="R191" i="20"/>
  <c r="V190" i="20"/>
  <c r="J282" i="20"/>
  <c r="E283" i="20"/>
  <c r="E191" i="20"/>
  <c r="I190" i="20"/>
  <c r="E145" i="20"/>
  <c r="I144" i="20"/>
  <c r="V226" i="20" l="1"/>
  <c r="H228" i="20"/>
  <c r="S283" i="20"/>
  <c r="Y282" i="20"/>
  <c r="AH283" i="20"/>
  <c r="AM282" i="20"/>
  <c r="R192" i="20"/>
  <c r="V191" i="20"/>
  <c r="J283" i="20"/>
  <c r="E284" i="20"/>
  <c r="E192" i="20"/>
  <c r="I191" i="20"/>
  <c r="E146" i="20"/>
  <c r="I145" i="20"/>
  <c r="R148" i="20"/>
  <c r="V147" i="20"/>
  <c r="AF192" i="20"/>
  <c r="AJ191" i="20"/>
  <c r="V227" i="20" l="1"/>
  <c r="H229" i="20"/>
  <c r="R193" i="20"/>
  <c r="V192" i="20"/>
  <c r="AH284" i="20"/>
  <c r="AM283" i="20"/>
  <c r="E193" i="20"/>
  <c r="I192" i="20"/>
  <c r="E285" i="20"/>
  <c r="J284" i="20"/>
  <c r="AF193" i="20"/>
  <c r="AJ192" i="20"/>
  <c r="R149" i="20"/>
  <c r="V148" i="20"/>
  <c r="E147" i="20"/>
  <c r="I146" i="20"/>
  <c r="Y283" i="20"/>
  <c r="S284" i="20"/>
  <c r="V228" i="20" l="1"/>
  <c r="H230" i="20"/>
  <c r="R194" i="20"/>
  <c r="V193" i="20"/>
  <c r="E194" i="20"/>
  <c r="I193" i="20"/>
  <c r="Y284" i="20"/>
  <c r="S285" i="20"/>
  <c r="R150" i="20"/>
  <c r="V149" i="20"/>
  <c r="E148" i="20"/>
  <c r="I147" i="20"/>
  <c r="AF194" i="20"/>
  <c r="AJ193" i="20"/>
  <c r="E286" i="20"/>
  <c r="J285" i="20"/>
  <c r="AM284" i="20"/>
  <c r="AH285" i="20"/>
  <c r="V229" i="20" l="1"/>
  <c r="H231" i="20"/>
  <c r="E195" i="20"/>
  <c r="I194" i="20"/>
  <c r="R151" i="20"/>
  <c r="V150" i="20"/>
  <c r="S286" i="20"/>
  <c r="Y285" i="20"/>
  <c r="AM285" i="20"/>
  <c r="AH286" i="20"/>
  <c r="AF195" i="20"/>
  <c r="AJ194" i="20"/>
  <c r="J286" i="20"/>
  <c r="E287" i="20"/>
  <c r="E149" i="20"/>
  <c r="I148" i="20"/>
  <c r="R195" i="20"/>
  <c r="V194" i="20"/>
  <c r="V230" i="20" l="1"/>
  <c r="H232" i="20"/>
  <c r="V195" i="20"/>
  <c r="R196" i="20"/>
  <c r="V151" i="20"/>
  <c r="R152" i="20"/>
  <c r="AH287" i="20"/>
  <c r="AM286" i="20"/>
  <c r="AJ195" i="20"/>
  <c r="AF196" i="20"/>
  <c r="E288" i="20"/>
  <c r="J288" i="20" s="1"/>
  <c r="J287" i="20"/>
  <c r="E150" i="20"/>
  <c r="I149" i="20"/>
  <c r="Y286" i="20"/>
  <c r="S287" i="20"/>
  <c r="I195" i="20"/>
  <c r="E196" i="20"/>
  <c r="V231" i="20" l="1"/>
  <c r="H233" i="20"/>
  <c r="S288" i="20"/>
  <c r="Y288" i="20" s="1"/>
  <c r="Y287" i="20"/>
  <c r="AF197" i="20"/>
  <c r="AJ197" i="20" s="1"/>
  <c r="AJ196" i="20"/>
  <c r="E151" i="20"/>
  <c r="I150" i="20"/>
  <c r="E197" i="20"/>
  <c r="I197" i="20" s="1"/>
  <c r="I196" i="20"/>
  <c r="R197" i="20"/>
  <c r="V197" i="20" s="1"/>
  <c r="V196" i="20"/>
  <c r="R153" i="20"/>
  <c r="V153" i="20" s="1"/>
  <c r="V152" i="20"/>
  <c r="AH288" i="20"/>
  <c r="AM288" i="20" s="1"/>
  <c r="AM287" i="20"/>
  <c r="V232" i="20" l="1"/>
  <c r="H234" i="20"/>
  <c r="I151" i="20"/>
  <c r="E152" i="20"/>
  <c r="V233" i="20" l="1"/>
  <c r="H235" i="20"/>
  <c r="E153" i="20"/>
  <c r="I153" i="20" s="1"/>
  <c r="I152" i="20"/>
  <c r="V234" i="20" l="1"/>
  <c r="H236" i="20"/>
  <c r="V235" i="20" l="1"/>
  <c r="H237" i="20"/>
  <c r="V236" i="20" l="1"/>
  <c r="H238" i="20"/>
  <c r="V237" i="20" l="1"/>
  <c r="H239" i="20"/>
  <c r="V238" i="20" l="1"/>
  <c r="H240" i="20"/>
  <c r="V239" i="20" l="1"/>
  <c r="H241" i="20"/>
  <c r="V240" i="20" l="1"/>
  <c r="H242" i="20"/>
  <c r="V241" i="20" l="1"/>
  <c r="H243" i="20"/>
  <c r="V242" i="20" l="1"/>
  <c r="H244" i="20"/>
  <c r="V243" i="20" l="1"/>
  <c r="V244" i="20" l="1"/>
  <c r="E62" i="20" l="1"/>
  <c r="N9" i="24"/>
  <c r="M9" i="24"/>
  <c r="O9" i="24" l="1"/>
  <c r="D25" i="24" s="1"/>
  <c r="E71" i="20" s="1"/>
  <c r="E70" i="20" s="1"/>
  <c r="C25" i="24"/>
  <c r="K220" i="20"/>
  <c r="Z220" i="20"/>
  <c r="T220" i="20" l="1"/>
  <c r="Y220" i="20" s="1"/>
  <c r="E64" i="20"/>
  <c r="Z221" i="20"/>
  <c r="Z222" i="20" s="1"/>
  <c r="Z223" i="20" s="1"/>
  <c r="Z224" i="20" s="1"/>
  <c r="Z225" i="20" s="1"/>
  <c r="Z226" i="20" s="1"/>
  <c r="Z227" i="20" s="1"/>
  <c r="Z228" i="20" s="1"/>
  <c r="Z229" i="20" s="1"/>
  <c r="Z230" i="20" s="1"/>
  <c r="Z231" i="20" s="1"/>
  <c r="Z232" i="20" s="1"/>
  <c r="Z233" i="20" s="1"/>
  <c r="Z234" i="20" s="1"/>
  <c r="Z235" i="20" s="1"/>
  <c r="Z236" i="20" s="1"/>
  <c r="Z237" i="20" s="1"/>
  <c r="Z238" i="20" s="1"/>
  <c r="Z239" i="20" s="1"/>
  <c r="Z240" i="20" s="1"/>
  <c r="Z241" i="20" s="1"/>
  <c r="Z242" i="20" s="1"/>
  <c r="Z243" i="20" s="1"/>
  <c r="Z244" i="20" s="1"/>
  <c r="K221" i="20"/>
  <c r="Z246" i="20" l="1"/>
  <c r="AC220" i="20"/>
  <c r="K222" i="20"/>
  <c r="K223" i="20" s="1"/>
  <c r="K224" i="20" s="1"/>
  <c r="K225" i="20" s="1"/>
  <c r="K226" i="20" s="1"/>
  <c r="K227" i="20" s="1"/>
  <c r="K228" i="20" s="1"/>
  <c r="K229" i="20" s="1"/>
  <c r="K230" i="20" s="1"/>
  <c r="K231" i="20" s="1"/>
  <c r="K232" i="20" s="1"/>
  <c r="K233" i="20" s="1"/>
  <c r="K234" i="20" s="1"/>
  <c r="K235" i="20" s="1"/>
  <c r="K236" i="20" s="1"/>
  <c r="K237" i="20" s="1"/>
  <c r="K238" i="20" s="1"/>
  <c r="K239" i="20" s="1"/>
  <c r="K240" i="20" s="1"/>
  <c r="K241" i="20" s="1"/>
  <c r="K242" i="20" s="1"/>
  <c r="K243" i="20" s="1"/>
  <c r="K244" i="20" s="1"/>
  <c r="S221" i="20"/>
  <c r="AH221" i="20"/>
  <c r="I221" i="20"/>
  <c r="F221" i="20"/>
  <c r="AI221" i="20"/>
  <c r="AL221" i="20"/>
  <c r="E221" i="20"/>
  <c r="T221" i="20"/>
  <c r="W221" i="20"/>
  <c r="W222" i="20" s="1"/>
  <c r="W223" i="20" s="1"/>
  <c r="W224" i="20" s="1"/>
  <c r="W225" i="20" s="1"/>
  <c r="W226" i="20" s="1"/>
  <c r="W227" i="20" s="1"/>
  <c r="W228" i="20" s="1"/>
  <c r="W229" i="20" s="1"/>
  <c r="W230" i="20" s="1"/>
  <c r="W231" i="20" s="1"/>
  <c r="W232" i="20" s="1"/>
  <c r="W233" i="20" s="1"/>
  <c r="W234" i="20" s="1"/>
  <c r="W235" i="20" s="1"/>
  <c r="W236" i="20" s="1"/>
  <c r="W237" i="20" s="1"/>
  <c r="W238" i="20" s="1"/>
  <c r="W239" i="20" s="1"/>
  <c r="W240" i="20" s="1"/>
  <c r="W241" i="20" s="1"/>
  <c r="W242" i="20" s="1"/>
  <c r="W243" i="20" s="1"/>
  <c r="W244" i="20" s="1"/>
  <c r="AI222" i="20" l="1"/>
  <c r="AI223" i="20" s="1"/>
  <c r="AI224" i="20" s="1"/>
  <c r="AI225" i="20" s="1"/>
  <c r="AI226" i="20" s="1"/>
  <c r="AI227" i="20" s="1"/>
  <c r="AI228" i="20" s="1"/>
  <c r="AI229" i="20" s="1"/>
  <c r="AI230" i="20" s="1"/>
  <c r="AI231" i="20" s="1"/>
  <c r="AI232" i="20" s="1"/>
  <c r="AI233" i="20" s="1"/>
  <c r="AI234" i="20" s="1"/>
  <c r="AI235" i="20" s="1"/>
  <c r="AI236" i="20" s="1"/>
  <c r="AI237" i="20" s="1"/>
  <c r="AI238" i="20" s="1"/>
  <c r="AI239" i="20" s="1"/>
  <c r="AI240" i="20" s="1"/>
  <c r="AI241" i="20" s="1"/>
  <c r="AI242" i="20" s="1"/>
  <c r="AI243" i="20" s="1"/>
  <c r="AI244" i="20" s="1"/>
  <c r="T222" i="20"/>
  <c r="T223" i="20" s="1"/>
  <c r="T224" i="20" s="1"/>
  <c r="T225" i="20" s="1"/>
  <c r="T226" i="20" s="1"/>
  <c r="T227" i="20" s="1"/>
  <c r="T228" i="20" s="1"/>
  <c r="T229" i="20" s="1"/>
  <c r="T230" i="20" s="1"/>
  <c r="T231" i="20" s="1"/>
  <c r="T232" i="20" s="1"/>
  <c r="T233" i="20" s="1"/>
  <c r="T234" i="20" s="1"/>
  <c r="T235" i="20" s="1"/>
  <c r="T236" i="20" s="1"/>
  <c r="T237" i="20" s="1"/>
  <c r="T238" i="20" s="1"/>
  <c r="T239" i="20" s="1"/>
  <c r="T240" i="20" s="1"/>
  <c r="T241" i="20" s="1"/>
  <c r="T242" i="20" s="1"/>
  <c r="T243" i="20" s="1"/>
  <c r="T244" i="20" s="1"/>
  <c r="F222" i="20"/>
  <c r="F223" i="20" s="1"/>
  <c r="F224" i="20" s="1"/>
  <c r="F225" i="20" s="1"/>
  <c r="F226" i="20" s="1"/>
  <c r="F227" i="20" s="1"/>
  <c r="F228" i="20" s="1"/>
  <c r="F229" i="20" s="1"/>
  <c r="F230" i="20" s="1"/>
  <c r="F231" i="20" s="1"/>
  <c r="F232" i="20" s="1"/>
  <c r="F233" i="20" s="1"/>
  <c r="F234" i="20" s="1"/>
  <c r="F235" i="20" s="1"/>
  <c r="F236" i="20" s="1"/>
  <c r="F237" i="20" s="1"/>
  <c r="F238" i="20" s="1"/>
  <c r="F239" i="20" s="1"/>
  <c r="F240" i="20" s="1"/>
  <c r="F241" i="20" s="1"/>
  <c r="F242" i="20" s="1"/>
  <c r="F243" i="20" s="1"/>
  <c r="F244" i="20" s="1"/>
  <c r="S222" i="20"/>
  <c r="Y221" i="20"/>
  <c r="AL222" i="20"/>
  <c r="AL223" i="20" s="1"/>
  <c r="AL224" i="20" s="1"/>
  <c r="AL225" i="20" s="1"/>
  <c r="AL226" i="20" s="1"/>
  <c r="AL227" i="20" s="1"/>
  <c r="AL228" i="20" s="1"/>
  <c r="AL229" i="20" s="1"/>
  <c r="AL230" i="20" s="1"/>
  <c r="AL231" i="20" s="1"/>
  <c r="AL232" i="20" s="1"/>
  <c r="AL233" i="20" s="1"/>
  <c r="AL234" i="20" s="1"/>
  <c r="AL235" i="20" s="1"/>
  <c r="AL236" i="20" s="1"/>
  <c r="AL237" i="20" s="1"/>
  <c r="AL238" i="20" s="1"/>
  <c r="AL239" i="20" s="1"/>
  <c r="AL240" i="20" s="1"/>
  <c r="AL241" i="20" s="1"/>
  <c r="AL242" i="20" s="1"/>
  <c r="AL243" i="20" s="1"/>
  <c r="AL244" i="20" s="1"/>
  <c r="AH222" i="20"/>
  <c r="AM221" i="20"/>
  <c r="E222" i="20"/>
  <c r="J221" i="20"/>
  <c r="I222" i="20"/>
  <c r="I223" i="20" s="1"/>
  <c r="I224" i="20" s="1"/>
  <c r="I225" i="20" s="1"/>
  <c r="I226" i="20" s="1"/>
  <c r="I227" i="20" s="1"/>
  <c r="I228" i="20" s="1"/>
  <c r="I229" i="20" s="1"/>
  <c r="I230" i="20" s="1"/>
  <c r="I231" i="20" s="1"/>
  <c r="I232" i="20" s="1"/>
  <c r="I233" i="20" s="1"/>
  <c r="I234" i="20" s="1"/>
  <c r="I235" i="20" s="1"/>
  <c r="I236" i="20" s="1"/>
  <c r="I237" i="20" s="1"/>
  <c r="I238" i="20" s="1"/>
  <c r="I239" i="20" s="1"/>
  <c r="I240" i="20" s="1"/>
  <c r="I241" i="20" s="1"/>
  <c r="I242" i="20" s="1"/>
  <c r="I243" i="20" s="1"/>
  <c r="I244" i="20" s="1"/>
  <c r="K246" i="20"/>
  <c r="AH223" i="20" l="1"/>
  <c r="AM222" i="20"/>
  <c r="E223" i="20"/>
  <c r="J222" i="20"/>
  <c r="S223" i="20"/>
  <c r="Y222" i="20"/>
  <c r="E224" i="20" l="1"/>
  <c r="J223" i="20"/>
  <c r="S224" i="20"/>
  <c r="Y223" i="20"/>
  <c r="AH224" i="20"/>
  <c r="AM223" i="20"/>
  <c r="S225" i="20" l="1"/>
  <c r="Y224" i="20"/>
  <c r="AH225" i="20"/>
  <c r="AM224" i="20"/>
  <c r="E225" i="20"/>
  <c r="J224" i="20"/>
  <c r="E226" i="20" l="1"/>
  <c r="J225" i="20"/>
  <c r="AM225" i="20"/>
  <c r="AH226" i="20"/>
  <c r="S226" i="20"/>
  <c r="Y225" i="20"/>
  <c r="S227" i="20" l="1"/>
  <c r="Y226" i="20"/>
  <c r="E227" i="20"/>
  <c r="J226" i="20"/>
  <c r="AM226" i="20"/>
  <c r="AH227" i="20"/>
  <c r="E228" i="20" l="1"/>
  <c r="J227" i="20"/>
  <c r="AM227" i="20"/>
  <c r="AH228" i="20"/>
  <c r="S228" i="20"/>
  <c r="Y227" i="20"/>
  <c r="AH229" i="20" l="1"/>
  <c r="AM228" i="20"/>
  <c r="S229" i="20"/>
  <c r="Y228" i="20"/>
  <c r="E229" i="20"/>
  <c r="J228" i="20"/>
  <c r="S230" i="20" l="1"/>
  <c r="Y229" i="20"/>
  <c r="E230" i="20"/>
  <c r="J229" i="20"/>
  <c r="AM229" i="20"/>
  <c r="AH230" i="20"/>
  <c r="E231" i="20" l="1"/>
  <c r="J230" i="20"/>
  <c r="AM230" i="20"/>
  <c r="AH231" i="20"/>
  <c r="S231" i="20"/>
  <c r="Y230" i="20"/>
  <c r="AM231" i="20" l="1"/>
  <c r="AH232" i="20"/>
  <c r="S232" i="20"/>
  <c r="Y231" i="20"/>
  <c r="E232" i="20"/>
  <c r="J231" i="20"/>
  <c r="AM232" i="20" l="1"/>
  <c r="AH233" i="20"/>
  <c r="S233" i="20"/>
  <c r="Y232" i="20"/>
  <c r="E233" i="20"/>
  <c r="J232" i="20"/>
  <c r="AH234" i="20" l="1"/>
  <c r="AM233" i="20"/>
  <c r="S234" i="20"/>
  <c r="Y233" i="20"/>
  <c r="E234" i="20"/>
  <c r="J233" i="20"/>
  <c r="S235" i="20" l="1"/>
  <c r="Y234" i="20"/>
  <c r="E235" i="20"/>
  <c r="J234" i="20"/>
  <c r="AM234" i="20"/>
  <c r="AH235" i="20"/>
  <c r="E236" i="20" l="1"/>
  <c r="J235" i="20"/>
  <c r="AH236" i="20"/>
  <c r="AM235" i="20"/>
  <c r="S236" i="20"/>
  <c r="Y235" i="20"/>
  <c r="AH237" i="20" l="1"/>
  <c r="AM236" i="20"/>
  <c r="S237" i="20"/>
  <c r="Y236" i="20"/>
  <c r="E237" i="20"/>
  <c r="J236" i="20"/>
  <c r="S238" i="20" l="1"/>
  <c r="Y237" i="20"/>
  <c r="E238" i="20"/>
  <c r="J237" i="20"/>
  <c r="AH238" i="20"/>
  <c r="AM237" i="20"/>
  <c r="E239" i="20" l="1"/>
  <c r="J238" i="20"/>
  <c r="AH239" i="20"/>
  <c r="AM238" i="20"/>
  <c r="S239" i="20"/>
  <c r="Y238" i="20"/>
  <c r="AH240" i="20" l="1"/>
  <c r="AM239" i="20"/>
  <c r="S240" i="20"/>
  <c r="Y239" i="20"/>
  <c r="E240" i="20"/>
  <c r="J239" i="20"/>
  <c r="S241" i="20" l="1"/>
  <c r="Y240" i="20"/>
  <c r="E241" i="20"/>
  <c r="J240" i="20"/>
  <c r="AH241" i="20"/>
  <c r="AM240" i="20"/>
  <c r="E242" i="20" l="1"/>
  <c r="J241" i="20"/>
  <c r="AH242" i="20"/>
  <c r="AM241" i="20"/>
  <c r="S242" i="20"/>
  <c r="Y241" i="20"/>
  <c r="AM242" i="20" l="1"/>
  <c r="AH243" i="20"/>
  <c r="S243" i="20"/>
  <c r="Y242" i="20"/>
  <c r="E243" i="20"/>
  <c r="J242" i="20"/>
  <c r="S244" i="20" l="1"/>
  <c r="Y244" i="20" s="1"/>
  <c r="Y243" i="20"/>
  <c r="AH244" i="20"/>
  <c r="AM244" i="20" s="1"/>
  <c r="AM243" i="20"/>
  <c r="E244" i="20"/>
  <c r="J244" i="20" s="1"/>
  <c r="J243" i="20"/>
  <c r="Y246" i="20" l="1"/>
  <c r="D306" i="20" s="1"/>
  <c r="AM246" i="20"/>
  <c r="AO246" i="20" s="1"/>
  <c r="J246" i="20"/>
  <c r="AA246" i="20" l="1"/>
  <c r="D305" i="20" s="1"/>
  <c r="C306" i="20"/>
  <c r="L246" i="20"/>
  <c r="C305" i="2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Maria Popescu</author>
    <author>Ruxandra Savin</author>
  </authors>
  <commentList>
    <comment ref="D3" authorId="0" shapeId="0" xr:uid="{B53DE532-F4E3-409F-B02B-E3C73FE70BBB}">
      <text>
        <r>
          <rPr>
            <b/>
            <sz val="9"/>
            <color indexed="81"/>
            <rFont val="Tahoma"/>
            <family val="2"/>
          </rPr>
          <t>Maria Popescu:</t>
        </r>
        <r>
          <rPr>
            <sz val="9"/>
            <color indexed="81"/>
            <rFont val="Tahoma"/>
            <family val="2"/>
          </rPr>
          <t xml:space="preserve">
la aceste valori se vor raporta costurile de operare </t>
        </r>
        <r>
          <rPr>
            <b/>
            <sz val="9"/>
            <color indexed="81"/>
            <rFont val="Tahoma"/>
            <family val="2"/>
          </rPr>
          <t>CU LINK</t>
        </r>
      </text>
    </comment>
    <comment ref="C4" authorId="1" shapeId="0" xr:uid="{B374D867-87C8-4F54-8265-BF5563F6338A}">
      <text>
        <r>
          <rPr>
            <b/>
            <sz val="9"/>
            <color indexed="81"/>
            <rFont val="Tahoma"/>
            <family val="2"/>
          </rPr>
          <t>Ruxandra Savin:</t>
        </r>
        <r>
          <rPr>
            <sz val="9"/>
            <color indexed="81"/>
            <rFont val="Tahoma"/>
            <family val="2"/>
          </rPr>
          <t xml:space="preserve">
- de inlocuit cu debitul de la Belin!!!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Maria Popescu</author>
  </authors>
  <commentList>
    <comment ref="K6" authorId="0" shapeId="0" xr:uid="{8AC4044B-AB55-41B6-9408-25F1F32C4868}">
      <text>
        <r>
          <rPr>
            <b/>
            <sz val="9"/>
            <color indexed="81"/>
            <rFont val="Tahoma"/>
            <family val="2"/>
          </rPr>
          <t>Maria Popescu: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din breviar:Qzi med+Qinfiltratii </t>
        </r>
      </text>
    </comment>
    <comment ref="D12" authorId="0" shapeId="0" xr:uid="{E9DA34B6-DE2A-4C81-AD83-AD1DCC220CFD}">
      <text>
        <r>
          <rPr>
            <b/>
            <sz val="9"/>
            <color indexed="81"/>
            <rFont val="Tahoma"/>
            <family val="2"/>
          </rPr>
          <t>Maria Popescu: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Arial"/>
            <family val="2"/>
          </rPr>
          <t>La aceasta valoare se face link in sheet-ul "analiza optiuni" (C71, D71 …)</t>
        </r>
      </text>
    </comment>
  </commentList>
</comments>
</file>

<file path=xl/sharedStrings.xml><?xml version="1.0" encoding="utf-8"?>
<sst xmlns="http://schemas.openxmlformats.org/spreadsheetml/2006/main" count="2739" uniqueCount="783">
  <si>
    <t>Cuprinde:</t>
  </si>
  <si>
    <t>SAPATURA</t>
  </si>
  <si>
    <t>UMPLUTURA NISIP</t>
  </si>
  <si>
    <t>UMPLUTURA PAMINT</t>
  </si>
  <si>
    <t>SPRIJINIRI</t>
  </si>
  <si>
    <t>VALOARE cu sprijiniri  (Euro/m)</t>
  </si>
  <si>
    <t>PU</t>
  </si>
  <si>
    <t>Dn</t>
  </si>
  <si>
    <t>De (m)</t>
  </si>
  <si>
    <t>L (m)</t>
  </si>
  <si>
    <t>Vsap (mc)</t>
  </si>
  <si>
    <t>EUR/ mc</t>
  </si>
  <si>
    <t>EUR/ m</t>
  </si>
  <si>
    <t>Vpat nisip (mc)</t>
  </si>
  <si>
    <t>Vpamint (mc)</t>
  </si>
  <si>
    <t>Suprafata (mp)</t>
  </si>
  <si>
    <t>EUR/ mp</t>
  </si>
  <si>
    <t>SAPATURA SI UMPLUTURA LA CONDUCTE DE CANALIZARI</t>
  </si>
  <si>
    <t>MONTAJ CONDUCTA  (Euro/m)</t>
  </si>
  <si>
    <t>TOTAL fara sprijiniri  (Euro/m)</t>
  </si>
  <si>
    <t>CAMIN LA 1M</t>
  </si>
  <si>
    <t>eur/M</t>
  </si>
  <si>
    <t>eur/BUC</t>
  </si>
  <si>
    <t>TOTAL GENERAL</t>
  </si>
  <si>
    <t>DIMENSIUNI</t>
  </si>
  <si>
    <t>Sapatura, umplutura, pat nisip, umplutura nisip, sprijiniri</t>
  </si>
  <si>
    <t>RETELE DE CONDUCTE DE CANALIZARE</t>
  </si>
  <si>
    <t>procurare conducte, montaj camine vizitare</t>
  </si>
  <si>
    <t>ADINCIME GENERATOARE SUPERIOARA CONDUCTA Hg =</t>
  </si>
  <si>
    <t>m</t>
  </si>
  <si>
    <t>Hs=                  De+Hg+Hnisip-0.2</t>
  </si>
  <si>
    <t>VOLUM PAMANT EXCEDENTAR</t>
  </si>
  <si>
    <t>VALOARE TRANSPORT PAMANT  EXCEDENTAR</t>
  </si>
  <si>
    <t>2.53 euro/t</t>
  </si>
  <si>
    <t>mc</t>
  </si>
  <si>
    <t>eur/m</t>
  </si>
  <si>
    <t>VOLUM PAMANT EXCEDEN-TAR</t>
  </si>
  <si>
    <t>VALOARE CAMIN (LA40M)</t>
  </si>
  <si>
    <t>Cu 10% SF</t>
  </si>
  <si>
    <t>Cu 15% SF</t>
  </si>
  <si>
    <t>De1/De2</t>
  </si>
  <si>
    <t>TOTAL INSTALATII</t>
  </si>
  <si>
    <t>TERASAMENTE ( 10m conducta bransament)</t>
  </si>
  <si>
    <t>CAMIN DE RACORD CU D1000/H=1m</t>
  </si>
  <si>
    <t xml:space="preserve">TOTAL </t>
  </si>
  <si>
    <t xml:space="preserve">TOTAL CU   COEFICIENT SF 15% </t>
  </si>
  <si>
    <t>mm</t>
  </si>
  <si>
    <t>EURO/BUC</t>
  </si>
  <si>
    <t>EURO/M</t>
  </si>
  <si>
    <t>EURO</t>
  </si>
  <si>
    <t>250/160</t>
  </si>
  <si>
    <t>racord nou</t>
  </si>
  <si>
    <t>racord partial fara camin</t>
  </si>
  <si>
    <t>refacere racord (reracordare)</t>
  </si>
  <si>
    <t>DESFACERE SI REFACERE DRUM RUTIER,</t>
  </si>
  <si>
    <t>LUNGIME CONDUCTA,  L=1m</t>
  </si>
  <si>
    <t>TIP</t>
  </si>
  <si>
    <t>Diametre conducte             De</t>
  </si>
  <si>
    <t>LUCRARI INCLUSE</t>
  </si>
  <si>
    <t>LATIME SANT</t>
  </si>
  <si>
    <t>DENUMIRE  STRAT  DE BAZA</t>
  </si>
  <si>
    <t>PRET UNITAR</t>
  </si>
  <si>
    <t>TOTAL                 (fara profit)</t>
  </si>
  <si>
    <t>TOTAL CU   COEFICIENT SF 15%  (fara profit).</t>
  </si>
  <si>
    <t>EURO/MP</t>
  </si>
  <si>
    <t>EURO/ML</t>
  </si>
  <si>
    <t>1A</t>
  </si>
  <si>
    <t>50 - 100</t>
  </si>
  <si>
    <t>ASFALT</t>
  </si>
  <si>
    <t>1B</t>
  </si>
  <si>
    <t>BETON</t>
  </si>
  <si>
    <t>1C</t>
  </si>
  <si>
    <t>MACADAM</t>
  </si>
  <si>
    <t>2A</t>
  </si>
  <si>
    <t>100 - 200</t>
  </si>
  <si>
    <t>2B</t>
  </si>
  <si>
    <t>2C</t>
  </si>
  <si>
    <t>3A</t>
  </si>
  <si>
    <t>200 - 300</t>
  </si>
  <si>
    <t>3B</t>
  </si>
  <si>
    <t>3C</t>
  </si>
  <si>
    <t>4A</t>
  </si>
  <si>
    <t>300 - 400</t>
  </si>
  <si>
    <t>4B</t>
  </si>
  <si>
    <t>4C</t>
  </si>
  <si>
    <t>5A</t>
  </si>
  <si>
    <t>400 - 600</t>
  </si>
  <si>
    <t>5B</t>
  </si>
  <si>
    <t>5C</t>
  </si>
  <si>
    <t>6A</t>
  </si>
  <si>
    <t>600 - 800</t>
  </si>
  <si>
    <t>6B</t>
  </si>
  <si>
    <t>6C</t>
  </si>
  <si>
    <t>Desfacere refacere sistem rutier</t>
  </si>
  <si>
    <t>ASFALT EUR/ML</t>
  </si>
  <si>
    <t>BETON EUR/ML</t>
  </si>
  <si>
    <t>MACADAM EUR/ML</t>
  </si>
  <si>
    <t>TOTAL GENERAL INCLUSIV DESFACERE/REFACERE DRUM</t>
  </si>
  <si>
    <t>SPAU1 - Q=3 l/s, H=20 m, Di=1.8</t>
  </si>
  <si>
    <t>C+I</t>
  </si>
  <si>
    <t>MU</t>
  </si>
  <si>
    <t>U</t>
  </si>
  <si>
    <t>TOTAL</t>
  </si>
  <si>
    <t>Alimentare cu energie electrica</t>
  </si>
  <si>
    <t>P (kW)</t>
  </si>
  <si>
    <t>Constructie statie de pompare</t>
  </si>
  <si>
    <t xml:space="preserve">Pompe </t>
  </si>
  <si>
    <t>Instalatii electrice</t>
  </si>
  <si>
    <t>SPAU2 - Q=5 l/s, H=20 m, Di=1.8</t>
  </si>
  <si>
    <t>SPAU3 - Q=10 l/s, H=30 m, Di=2.2</t>
  </si>
  <si>
    <t>SPAU4 - Q=20 l/s, H=30 m, Di=2.2</t>
  </si>
  <si>
    <t>SPAU5 - Q=30 l/s, H=30 m, Di=2.2</t>
  </si>
  <si>
    <t>SPAU6 - Q=45 l/s, H=30 m, Di=3</t>
  </si>
  <si>
    <t>SPAU7 - Q=60 l/s, H=30 m, Di=3</t>
  </si>
  <si>
    <t>SPAU8 - Q=80 l/s, H=30 m, Di=3</t>
  </si>
  <si>
    <t>SPAU9 - Q=100 l/s, H=30 m, Di=3</t>
  </si>
  <si>
    <t>Diam cond protectie OL</t>
  </si>
  <si>
    <t>Pret/m</t>
  </si>
  <si>
    <t>De+100</t>
  </si>
  <si>
    <t>EUR</t>
  </si>
  <si>
    <t>Grup electrogen</t>
  </si>
  <si>
    <t>SPAU9 - Q=150 l/s, H=30 m, Di=3</t>
  </si>
  <si>
    <t>SEAU RASTU NOU</t>
  </si>
  <si>
    <t>Dn 250</t>
  </si>
  <si>
    <t>Dn 315</t>
  </si>
  <si>
    <t>Dn 400</t>
  </si>
  <si>
    <t>Dn 500</t>
  </si>
  <si>
    <t>Dn 600</t>
  </si>
  <si>
    <t>Diametru (mm)</t>
  </si>
  <si>
    <t>DN50</t>
  </si>
  <si>
    <t>DN63-90</t>
  </si>
  <si>
    <t>DN110-140</t>
  </si>
  <si>
    <t>DN160-200</t>
  </si>
  <si>
    <t>DN225-280</t>
  </si>
  <si>
    <t>DN315-355</t>
  </si>
  <si>
    <t>DN400-450</t>
  </si>
  <si>
    <t>DN500</t>
  </si>
  <si>
    <t>DN560-630</t>
  </si>
  <si>
    <t>DN800</t>
  </si>
  <si>
    <t xml:space="preserve">Hg = 1 m  ADINCIME GENERATOARE SUPERIOARA CONDUCTA </t>
  </si>
  <si>
    <t xml:space="preserve">Hg = 1.5 m  ADINCIME GENERATOARE SUPERIOARA CONDUCTA </t>
  </si>
  <si>
    <t xml:space="preserve">Hg = 2 m  ADINCIME GENERATOARE SUPERIOARA CONDUCTA </t>
  </si>
  <si>
    <t xml:space="preserve">Hg = 2.5 m  ADINCIME GENERATOARE SUPERIOARA CONDUCTA </t>
  </si>
  <si>
    <t xml:space="preserve">Hg =3 m  ADINCIME GENERATOARE SUPERIOARA CONDUCTA </t>
  </si>
  <si>
    <t xml:space="preserve">Hg =4 m  ADINCIME GENERATOARE SUPERIOARA CONDUCTA </t>
  </si>
  <si>
    <t xml:space="preserve">Hg =5 m  ADINCIME GENERATOARE SUPERIOARA CONDUCTA </t>
  </si>
  <si>
    <t xml:space="preserve">Hg =6 m  ADINCIME GENERATOARE SUPERIOARA CONDUCTA </t>
  </si>
  <si>
    <t>Reabilitare prin procedeul CIPP Lining (euro/m)</t>
  </si>
  <si>
    <t>Calculatie preturi unitare comasate, manopera , utilaj, transport</t>
  </si>
  <si>
    <t>PROCURARE SI MONTAJ CONDUCTE REFULARE APA UZATA, PEID  PN 10</t>
  </si>
  <si>
    <t>A.</t>
  </si>
  <si>
    <t>Sapatura, umplutura, pat nisip, umplutura nisip, sprijIniri</t>
  </si>
  <si>
    <t>procurare si montaj conducta cu elemente de legatura, vane de linie,</t>
  </si>
  <si>
    <t>aerisiri si goliri.</t>
  </si>
  <si>
    <t>Hg =</t>
  </si>
  <si>
    <t>UMPLUTURA NISIP ( 0.1m sub cond.)</t>
  </si>
  <si>
    <t>VALOARE TERASAMENTE cu sprijiniri  (Euro/m)</t>
  </si>
  <si>
    <t xml:space="preserve">MONTAJ CONDUCTA  PEID Pn10   </t>
  </si>
  <si>
    <t xml:space="preserve"> VANE LINIE</t>
  </si>
  <si>
    <t>CAMIN AERISIRE</t>
  </si>
  <si>
    <t>CAMIN VANE GOLIRE</t>
  </si>
  <si>
    <t>Hs*</t>
  </si>
  <si>
    <t xml:space="preserve"> -</t>
  </si>
  <si>
    <t>H* - diferenta intre cota teren amenajat si cota sapatura</t>
  </si>
  <si>
    <t>Tip generator</t>
  </si>
  <si>
    <t>EUR/buc</t>
  </si>
  <si>
    <t>Generator mobil pt SPAU</t>
  </si>
  <si>
    <t>Generator fix STAP</t>
  </si>
  <si>
    <t>Generator fix SEAU</t>
  </si>
  <si>
    <t>C + I</t>
  </si>
  <si>
    <t>Sistem de canalizare</t>
  </si>
  <si>
    <t>Water Activity Options</t>
  </si>
  <si>
    <t>Sisteme de alimentare cu apa a comunei Ghercesti</t>
  </si>
  <si>
    <t>Analysis 1</t>
  </si>
  <si>
    <t>Option 1</t>
  </si>
  <si>
    <t>Option 2</t>
  </si>
  <si>
    <t>Short description of Option 1</t>
  </si>
  <si>
    <t>Alimentarea cu apa din  reteaua de distributie a municipiului Craiova</t>
  </si>
  <si>
    <t>Investment costs</t>
  </si>
  <si>
    <t>Euro</t>
  </si>
  <si>
    <t>Main works</t>
  </si>
  <si>
    <t>Plant and Machinery</t>
  </si>
  <si>
    <t>Quantity fo water related to options</t>
  </si>
  <si>
    <t>m3</t>
  </si>
  <si>
    <t>Short description of Option 2</t>
  </si>
  <si>
    <t>Alimentarea cu apa de la sursa subterana proprie Ghercesti</t>
  </si>
  <si>
    <t>Operating costs</t>
  </si>
  <si>
    <t>Material Costs</t>
  </si>
  <si>
    <t>Personnel Costs</t>
  </si>
  <si>
    <t xml:space="preserve">Number </t>
  </si>
  <si>
    <t>no.</t>
  </si>
  <si>
    <t>Average salary</t>
  </si>
  <si>
    <t>Euro/Month</t>
  </si>
  <si>
    <t>Related taxes</t>
  </si>
  <si>
    <t>Electricity costs</t>
  </si>
  <si>
    <t>Quantity</t>
  </si>
  <si>
    <t>KwH/year</t>
  </si>
  <si>
    <t>Average price</t>
  </si>
  <si>
    <t>Euro/KwH</t>
  </si>
  <si>
    <t>Maintenance costs</t>
  </si>
  <si>
    <t>Percentage from Main Works</t>
  </si>
  <si>
    <t>%</t>
  </si>
  <si>
    <t>Percentage from Plant and Machinery</t>
  </si>
  <si>
    <t>Total operating costs</t>
  </si>
  <si>
    <t>Option selected from technical point of view:</t>
  </si>
  <si>
    <t>Analysis 2</t>
  </si>
  <si>
    <t>Option 3</t>
  </si>
  <si>
    <t>Plan and Machinery</t>
  </si>
  <si>
    <t>Short description of Option 3</t>
  </si>
  <si>
    <t>Percentage from Plan and Machinery</t>
  </si>
  <si>
    <t>Option selected from technical poin of view:</t>
  </si>
  <si>
    <t>Optiuni pentru sistemul de canalizare</t>
  </si>
  <si>
    <t>Analiza 1</t>
  </si>
  <si>
    <t>Optiunea 1</t>
  </si>
  <si>
    <t>Optiunea 2</t>
  </si>
  <si>
    <t>Scurta descriere a Optiunii 1</t>
  </si>
  <si>
    <t>Constructii</t>
  </si>
  <si>
    <t>Echipamente si instalatii</t>
  </si>
  <si>
    <t xml:space="preserve">Volum de apa </t>
  </si>
  <si>
    <t>Scurta descriere a Optiunii 2</t>
  </si>
  <si>
    <t>Costuri cu materiale</t>
  </si>
  <si>
    <t>Costuri cu personalul</t>
  </si>
  <si>
    <t>Numar</t>
  </si>
  <si>
    <t>Salariul mediu</t>
  </si>
  <si>
    <t>Euro/luna</t>
  </si>
  <si>
    <t>Taxe</t>
  </si>
  <si>
    <t>Costuri cu energia electrica</t>
  </si>
  <si>
    <t>Cantitate</t>
  </si>
  <si>
    <t>KwH/an</t>
  </si>
  <si>
    <t>Pret</t>
  </si>
  <si>
    <t>Costuri de intretinere</t>
  </si>
  <si>
    <t>Procent din investitie - constructii</t>
  </si>
  <si>
    <t>Procent din investitie - echipamente si instalatii</t>
  </si>
  <si>
    <t>Euro/tDM</t>
  </si>
  <si>
    <t>Costuri de operare totale</t>
  </si>
  <si>
    <t xml:space="preserve"> </t>
  </si>
  <si>
    <t>Optiunea selectata din punct de vedere economic</t>
  </si>
  <si>
    <t>Sludge disposal costs</t>
  </si>
  <si>
    <t>tDM/a</t>
  </si>
  <si>
    <t>Average costs of disposal</t>
  </si>
  <si>
    <t>Analiza financiara a optiunilor</t>
  </si>
  <si>
    <t>Water activity</t>
  </si>
  <si>
    <t>Year</t>
  </si>
  <si>
    <t>Investment</t>
  </si>
  <si>
    <t>Operating and maintenance costs</t>
  </si>
  <si>
    <t>Financial</t>
  </si>
  <si>
    <t>Plant and</t>
  </si>
  <si>
    <t>Materials</t>
  </si>
  <si>
    <t>Elecricity</t>
  </si>
  <si>
    <t>Personnel</t>
  </si>
  <si>
    <t>Maintenance</t>
  </si>
  <si>
    <t>Toal</t>
  </si>
  <si>
    <t>Total</t>
  </si>
  <si>
    <t>unit</t>
  </si>
  <si>
    <t>Machinery</t>
  </si>
  <si>
    <t>costs</t>
  </si>
  <si>
    <t>O&amp;M</t>
  </si>
  <si>
    <t>Water</t>
  </si>
  <si>
    <t>cost</t>
  </si>
  <si>
    <t>per m3</t>
  </si>
  <si>
    <t>EUR/m3</t>
  </si>
  <si>
    <t>Resid. Value</t>
  </si>
  <si>
    <t>NPV at 4%</t>
  </si>
  <si>
    <t>Apa uzata</t>
  </si>
  <si>
    <t>An</t>
  </si>
  <si>
    <t>Investitii</t>
  </si>
  <si>
    <t>Cost</t>
  </si>
  <si>
    <t>Lucrari civile</t>
  </si>
  <si>
    <t xml:space="preserve">Constructii </t>
  </si>
  <si>
    <t>Costuri cu</t>
  </si>
  <si>
    <t xml:space="preserve">Costuri cu </t>
  </si>
  <si>
    <t>Cost total</t>
  </si>
  <si>
    <t xml:space="preserve">Volum </t>
  </si>
  <si>
    <t>unitar</t>
  </si>
  <si>
    <t>Costuri de</t>
  </si>
  <si>
    <t>Sludge</t>
  </si>
  <si>
    <t>Instalatii</t>
  </si>
  <si>
    <t>materialel</t>
  </si>
  <si>
    <t>electricitatea</t>
  </si>
  <si>
    <t>personalul</t>
  </si>
  <si>
    <t>intretinerea</t>
  </si>
  <si>
    <t>depozitarea</t>
  </si>
  <si>
    <t>operare si</t>
  </si>
  <si>
    <t>apa uzata</t>
  </si>
  <si>
    <t>pe m3</t>
  </si>
  <si>
    <t>operare</t>
  </si>
  <si>
    <t>disposal</t>
  </si>
  <si>
    <t>wastewater</t>
  </si>
  <si>
    <t>namolului</t>
  </si>
  <si>
    <t>mentenanta</t>
  </si>
  <si>
    <t>SE TG</t>
  </si>
  <si>
    <t>Valoarea reziduala</t>
  </si>
  <si>
    <t>NPV la  4%</t>
  </si>
  <si>
    <t>NPV la 4%</t>
  </si>
  <si>
    <t>NPV at 5%</t>
  </si>
  <si>
    <t>NPV at 0%</t>
  </si>
  <si>
    <t>NPV at 10%</t>
  </si>
  <si>
    <t>Optiuni privind sistemul de canalizare</t>
  </si>
  <si>
    <t>DUC</t>
  </si>
  <si>
    <t>Descriere optiuni sistem alimentare cu apa</t>
  </si>
  <si>
    <t>Opţiunea 1</t>
  </si>
  <si>
    <t>Opţiunea 2</t>
  </si>
  <si>
    <t>.</t>
  </si>
  <si>
    <t>INVESTITII (Euro)</t>
  </si>
  <si>
    <t>Optiunea 1 (varianta descentralizata)</t>
  </si>
  <si>
    <t>UM</t>
  </si>
  <si>
    <t>Utilaje si echipamente</t>
  </si>
  <si>
    <t>TOTAL (euro)</t>
  </si>
  <si>
    <t>buc</t>
  </si>
  <si>
    <t>Retea de canalizare</t>
  </si>
  <si>
    <t>SPAU</t>
  </si>
  <si>
    <t>Refulari</t>
  </si>
  <si>
    <t>Optiunea 2 (varianta centralizata)</t>
  </si>
  <si>
    <t>RACORD DE CANALIZARE PE CONDUCTA D 250 CU 160 (L=10m)  SI CAMIN RACORD D1000/H=1m</t>
  </si>
  <si>
    <t>CHELTUIELI ENERGIE (Euro/an)</t>
  </si>
  <si>
    <t>Varianta descentralizata</t>
  </si>
  <si>
    <t>Consum energie (kwH/an)</t>
  </si>
  <si>
    <t>Varianta centralizata</t>
  </si>
  <si>
    <t>PERSONAL EXPLOATARE</t>
  </si>
  <si>
    <t>Optiunea 1                                               Varianta descentralizata</t>
  </si>
  <si>
    <t>Personal exploatare-intretinere Statie de epurare</t>
  </si>
  <si>
    <t>Personal exploatare-intretinere retele de canalizare</t>
  </si>
  <si>
    <t>Optiunea 2                                               Varianta centralizata</t>
  </si>
  <si>
    <t>Materiale</t>
  </si>
  <si>
    <t xml:space="preserve"> Chimicale</t>
  </si>
  <si>
    <t xml:space="preserve"> Consumabile</t>
  </si>
  <si>
    <t>etc</t>
  </si>
  <si>
    <t>TOTAL pt optiunea 1</t>
  </si>
  <si>
    <t>TOTAL pt optiunea 2</t>
  </si>
  <si>
    <t>TOTAL pt optiunea 3</t>
  </si>
  <si>
    <t>TOTAL pt optiunea 4</t>
  </si>
  <si>
    <t>Debite (l/s)</t>
  </si>
  <si>
    <t>Volume anuale (mc/an)</t>
  </si>
  <si>
    <t>Aglomerare/sistem</t>
  </si>
  <si>
    <t>…</t>
  </si>
  <si>
    <r>
      <t xml:space="preserve">1. Desfacere.                              2.  Refacere:fundatie 20cm, binder 6cm, </t>
    </r>
    <r>
      <rPr>
        <b/>
        <sz val="12"/>
        <color theme="0" tint="-0.249977111117893"/>
        <rFont val="Arial"/>
        <family val="2"/>
      </rPr>
      <t>ASFALT</t>
    </r>
    <r>
      <rPr>
        <b/>
        <sz val="10"/>
        <color theme="0" tint="-0.249977111117893"/>
        <rFont val="Arial"/>
        <family val="2"/>
      </rPr>
      <t xml:space="preserve"> 3cm.</t>
    </r>
  </si>
  <si>
    <r>
      <t xml:space="preserve">1. Desfacere.                              2.  Refacere:strat balast 20cm, </t>
    </r>
    <r>
      <rPr>
        <b/>
        <sz val="12"/>
        <color theme="0" tint="-0.249977111117893"/>
        <rFont val="Arial"/>
        <family val="2"/>
      </rPr>
      <t>BETON</t>
    </r>
    <r>
      <rPr>
        <b/>
        <sz val="10"/>
        <color theme="0" tint="-0.249977111117893"/>
        <rFont val="Arial"/>
        <family val="2"/>
      </rPr>
      <t xml:space="preserve"> 20cm</t>
    </r>
  </si>
  <si>
    <r>
      <t xml:space="preserve">1. Desfacere.                              2.  Refacere:strat balast 20cm, </t>
    </r>
    <r>
      <rPr>
        <b/>
        <sz val="12"/>
        <color theme="0" tint="-0.249977111117893"/>
        <rFont val="Arial"/>
        <family val="2"/>
      </rPr>
      <t>MACADAM</t>
    </r>
    <r>
      <rPr>
        <b/>
        <sz val="10"/>
        <color theme="0" tint="-0.249977111117893"/>
        <rFont val="Arial"/>
        <family val="2"/>
      </rPr>
      <t xml:space="preserve"> 20cm</t>
    </r>
  </si>
  <si>
    <t>Echipament</t>
  </si>
  <si>
    <t>Instalat</t>
  </si>
  <si>
    <t>Pompe de ridicare</t>
  </si>
  <si>
    <t>Mixer in-line</t>
  </si>
  <si>
    <t>euro</t>
  </si>
  <si>
    <t>l.e.</t>
  </si>
  <si>
    <t>Costuri reactivi</t>
  </si>
  <si>
    <t>Eliminare fosfor</t>
  </si>
  <si>
    <t>Polimeri</t>
  </si>
  <si>
    <t>lei/tona</t>
  </si>
  <si>
    <t>euro/tona</t>
  </si>
  <si>
    <t>Necesar clorura ferica</t>
  </si>
  <si>
    <t>kg/zi</t>
  </si>
  <si>
    <t>cf Breviar de calcul</t>
  </si>
  <si>
    <t>Clorura ferica 40%</t>
  </si>
  <si>
    <t>l/zi</t>
  </si>
  <si>
    <t xml:space="preserve">Consum anual de clorura ferica </t>
  </si>
  <si>
    <t>to/an</t>
  </si>
  <si>
    <t>COST TOTAL REACTIVI</t>
  </si>
  <si>
    <t>euro/an</t>
  </si>
  <si>
    <r>
      <rPr>
        <u/>
        <sz val="12"/>
        <rFont val="Calibri"/>
        <family val="2"/>
      </rPr>
      <t>Tratarea namolului:</t>
    </r>
    <r>
      <rPr>
        <sz val="12"/>
        <rFont val="Calibri"/>
        <family val="2"/>
      </rPr>
      <t xml:space="preserve"> </t>
    </r>
  </si>
  <si>
    <t>Productie de namol:</t>
  </si>
  <si>
    <t>kgSU / zi</t>
  </si>
  <si>
    <t>Cantitate namol ingrosat</t>
  </si>
  <si>
    <t>kgSU/zi</t>
  </si>
  <si>
    <t>Captura namol deshidratare</t>
  </si>
  <si>
    <t>Cantitate namol deshidratat</t>
  </si>
  <si>
    <t>inclusiv PE</t>
  </si>
  <si>
    <t>Cantitate de namol deshidratat</t>
  </si>
  <si>
    <t>Cantitate anuala de namol deshidratat</t>
  </si>
  <si>
    <t>Procent SU in namolul deshidratat</t>
  </si>
  <si>
    <t>Greutatea specifica a namolului deshidratat</t>
  </si>
  <si>
    <r>
      <t>kg/m</t>
    </r>
    <r>
      <rPr>
        <vertAlign val="superscript"/>
        <sz val="12"/>
        <color indexed="8"/>
        <rFont val="Calibri"/>
        <family val="2"/>
      </rPr>
      <t>3</t>
    </r>
  </si>
  <si>
    <t>Masa de substanta uscata pe unitatea de volum</t>
  </si>
  <si>
    <t xml:space="preserve">Volum zilnic de namol deshidratat </t>
  </si>
  <si>
    <r>
      <t>m</t>
    </r>
    <r>
      <rPr>
        <vertAlign val="superscript"/>
        <sz val="12"/>
        <color indexed="8"/>
        <rFont val="Calibri"/>
        <family val="2"/>
      </rPr>
      <t>3</t>
    </r>
    <r>
      <rPr>
        <sz val="12"/>
        <color indexed="8"/>
        <rFont val="Calibri"/>
        <family val="2"/>
      </rPr>
      <t>/zi</t>
    </r>
  </si>
  <si>
    <t>Volum anual de namol rezultat</t>
  </si>
  <si>
    <r>
      <t>m</t>
    </r>
    <r>
      <rPr>
        <b/>
        <vertAlign val="superscript"/>
        <sz val="12"/>
        <color indexed="8"/>
        <rFont val="Calibri"/>
        <family val="2"/>
      </rPr>
      <t>3</t>
    </r>
    <r>
      <rPr>
        <b/>
        <sz val="12"/>
        <color indexed="8"/>
        <rFont val="Calibri"/>
        <family val="2"/>
      </rPr>
      <t>/an</t>
    </r>
  </si>
  <si>
    <t xml:space="preserve">Consum specific de polielectrolit </t>
  </si>
  <si>
    <t>gPE/kgSU</t>
  </si>
  <si>
    <t>Consum zilnic maxim polielectrolit</t>
  </si>
  <si>
    <t>kgPE/zi</t>
  </si>
  <si>
    <t>Consum anual maxim polielectrolit</t>
  </si>
  <si>
    <t>toPE/an</t>
  </si>
  <si>
    <t xml:space="preserve">Concentratia solutiei primare de polielectrolit </t>
  </si>
  <si>
    <t>Densitatea solutiei primare de polielectrolit</t>
  </si>
  <si>
    <t>Consumul de solutie primara de polielectrolit</t>
  </si>
  <si>
    <t>Concentratia solutiei de polielectrolit diluata</t>
  </si>
  <si>
    <t>Consumul de apa de dilutie</t>
  </si>
  <si>
    <t>Consum anual apa de dilutie</t>
  </si>
  <si>
    <t>Unităţi de serviciu</t>
  </si>
  <si>
    <t>Putere instalată (cotaţie)
(kW/unitate)</t>
  </si>
  <si>
    <t>Putere instalată 
(kW/totala)</t>
  </si>
  <si>
    <t>Putere absorbită
(kW / unitate)</t>
  </si>
  <si>
    <t>Putere absorbita 
(kW/totala)</t>
  </si>
  <si>
    <t xml:space="preserve">Timp de funcţionare zilnică (h/zi) </t>
  </si>
  <si>
    <t>Necesarul zilnic de curent electric
(kWh/zi)</t>
  </si>
  <si>
    <t>Timp de funcţionare
(zile / an)</t>
  </si>
  <si>
    <t>Consum de energie
(kWh / an)</t>
  </si>
  <si>
    <t>Mixer amestec</t>
  </si>
  <si>
    <t>Lampi UV</t>
  </si>
  <si>
    <t>ƞ</t>
  </si>
  <si>
    <t>PENTRU SEAU, CONSUMUL DE ENERIGIE SE CALCULEAZA IN SHEET-Ul aferent SEAU</t>
  </si>
  <si>
    <t>Pcons= Q*H/102/ƞ</t>
  </si>
  <si>
    <t>EXEMPLU CALCUL CONSUM ENERIE pentru SPAU</t>
  </si>
  <si>
    <t>Q pompa</t>
  </si>
  <si>
    <t>H pomp</t>
  </si>
  <si>
    <t>Putere consumata</t>
  </si>
  <si>
    <t>Qzi med</t>
  </si>
  <si>
    <t>Qor max</t>
  </si>
  <si>
    <t>Q an med</t>
  </si>
  <si>
    <t>Nr ore functionare Pompe</t>
  </si>
  <si>
    <t>Consum anunal</t>
  </si>
  <si>
    <t>l/s</t>
  </si>
  <si>
    <t>mc/zi</t>
  </si>
  <si>
    <t>mCA</t>
  </si>
  <si>
    <t>kwh</t>
  </si>
  <si>
    <t>mc/an</t>
  </si>
  <si>
    <t>ore/zi</t>
  </si>
  <si>
    <t>kwh/an</t>
  </si>
  <si>
    <t>SPAU 1</t>
  </si>
  <si>
    <t>SPAU 2</t>
  </si>
  <si>
    <t>Putere consumata (kW)</t>
  </si>
  <si>
    <t>m3/an</t>
  </si>
  <si>
    <t xml:space="preserve">Statie de pompare apa uzata </t>
  </si>
  <si>
    <t xml:space="preserve"> (l/s) </t>
  </si>
  <si>
    <t>(mCA)</t>
  </si>
  <si>
    <t>(m)</t>
  </si>
  <si>
    <t>(buc)</t>
  </si>
  <si>
    <t>(EUR)</t>
  </si>
  <si>
    <t>SPAU1</t>
  </si>
  <si>
    <t>SPAU2</t>
  </si>
  <si>
    <t>Nr. crt.</t>
  </si>
  <si>
    <t xml:space="preserve">Statie de pompare apa uzata                             </t>
  </si>
  <si>
    <t>Debit 
 cerut</t>
  </si>
  <si>
    <t>Debit 
 ofertat</t>
  </si>
  <si>
    <t>Inaltime de pompare solicitat</t>
  </si>
  <si>
    <t>Inaltime de pompare 
ofertat</t>
  </si>
  <si>
    <t>H radier cond.  intrare SPAU</t>
  </si>
  <si>
    <t>Nr. pompe</t>
  </si>
  <si>
    <t>Putere nominala/ pompa</t>
  </si>
  <si>
    <t>Randament</t>
  </si>
  <si>
    <t>D interior 
SPAU</t>
  </si>
  <si>
    <t>H 
SPAU</t>
  </si>
  <si>
    <t>Tip Pompe</t>
  </si>
  <si>
    <t>Observatii</t>
  </si>
  <si>
    <t>D interior 
Camin 
Decantor</t>
  </si>
  <si>
    <t>H
Camin Decantor</t>
  </si>
  <si>
    <t>KW</t>
  </si>
  <si>
    <t>(%)</t>
  </si>
  <si>
    <t>1+1</t>
  </si>
  <si>
    <t>Rexa PRO V05 DA-122 / EA</t>
  </si>
  <si>
    <t>1,5</t>
  </si>
  <si>
    <t>SPAU3</t>
  </si>
  <si>
    <t>SPAU4</t>
  </si>
  <si>
    <t>Rexa PRO V06 DA-622 / EA</t>
  </si>
  <si>
    <t>SPAU5</t>
  </si>
  <si>
    <t>SPAU6</t>
  </si>
  <si>
    <t>Rexa PRO V05 DA-124 / EA</t>
  </si>
  <si>
    <t>SPAU7</t>
  </si>
  <si>
    <t>SPAU8</t>
  </si>
  <si>
    <t>SPAU9</t>
  </si>
  <si>
    <t>Rexa PRO C05 DA-322 / EA</t>
  </si>
  <si>
    <t>SPAU10</t>
  </si>
  <si>
    <t>SPAU11</t>
  </si>
  <si>
    <t>SPAU12</t>
  </si>
  <si>
    <t>SPAU13</t>
  </si>
  <si>
    <t>SPAU14</t>
  </si>
  <si>
    <t>Rexa PRO V05 DA-126 / EA</t>
  </si>
  <si>
    <t>SPAU15</t>
  </si>
  <si>
    <t>SPAU16</t>
  </si>
  <si>
    <t>SPAU17</t>
  </si>
  <si>
    <t>SPAU18</t>
  </si>
  <si>
    <t>SPAU19</t>
  </si>
  <si>
    <t>SPAU20</t>
  </si>
  <si>
    <t>SPAU21</t>
  </si>
  <si>
    <t>SPAU22</t>
  </si>
  <si>
    <t>SPAU23</t>
  </si>
  <si>
    <t>SPAU24</t>
  </si>
  <si>
    <t>Rexa PRO C05 DA-324 / EA</t>
  </si>
  <si>
    <t>SPAU25</t>
  </si>
  <si>
    <t>SPAU26</t>
  </si>
  <si>
    <t>SPAU27</t>
  </si>
  <si>
    <t>SPAU28</t>
  </si>
  <si>
    <t>SPAU29</t>
  </si>
  <si>
    <t>Rexa PRO C05 DA-326 / EA</t>
  </si>
  <si>
    <t>SPAU30</t>
  </si>
  <si>
    <t>SPAU31</t>
  </si>
  <si>
    <t>Rexa PRO C05 DA-326/ EA</t>
  </si>
  <si>
    <t>SPAU32</t>
  </si>
  <si>
    <t>Rexa PRO V05 DA-226 / EA</t>
  </si>
  <si>
    <t>SPAU33</t>
  </si>
  <si>
    <t>Rexa PRO V05 DA-228 / EA</t>
  </si>
  <si>
    <t>SPAU34</t>
  </si>
  <si>
    <t>SPAU35</t>
  </si>
  <si>
    <t>SPAU36</t>
  </si>
  <si>
    <t>Rexa PRO V05 DA-222 / EA</t>
  </si>
  <si>
    <t>SPAU37</t>
  </si>
  <si>
    <t>SPAU38</t>
  </si>
  <si>
    <t>SPAU39</t>
  </si>
  <si>
    <t>Rexa PRO C05 DA-328 / EA</t>
  </si>
  <si>
    <t>SPAU40</t>
  </si>
  <si>
    <t>SPAU41</t>
  </si>
  <si>
    <t>SPAU42</t>
  </si>
  <si>
    <t>SPAU43</t>
  </si>
  <si>
    <t>Rexa PRO V05 DA-224 / EA</t>
  </si>
  <si>
    <t>SPAU44</t>
  </si>
  <si>
    <t>Rexa PRO C05 DA-329 / EA</t>
  </si>
  <si>
    <t>SPAU45</t>
  </si>
  <si>
    <t>SPAU46</t>
  </si>
  <si>
    <t>SPAU47</t>
  </si>
  <si>
    <t>SPAU48</t>
  </si>
  <si>
    <t>SPAU49</t>
  </si>
  <si>
    <t>FA 08.73W  FK 202-2/17</t>
  </si>
  <si>
    <t>SPAU50</t>
  </si>
  <si>
    <t>FA 08.64E  FK 17.1-4/16K</t>
  </si>
  <si>
    <t>SPAU51</t>
  </si>
  <si>
    <t>FA 10.33E   FK 17.1-4/8K</t>
  </si>
  <si>
    <t>SPAU52</t>
  </si>
  <si>
    <t>Rexa PRO V06 DA-222 / EA</t>
  </si>
  <si>
    <t>SPAU53</t>
  </si>
  <si>
    <t>FA 08.64E  FK 17.1-6/12K</t>
  </si>
  <si>
    <t>SPAU54</t>
  </si>
  <si>
    <t>FA 10.33E FK 17.1-4/12K</t>
  </si>
  <si>
    <t>SPAU55</t>
  </si>
  <si>
    <t>FA 10.33E  FK 17.1-4/12K</t>
  </si>
  <si>
    <t>SPAU56</t>
  </si>
  <si>
    <t>FA 08.73W FK 202-2/22</t>
  </si>
  <si>
    <t>SPAU57</t>
  </si>
  <si>
    <t>FA 10.34E  FK 17.1-6/12K</t>
  </si>
  <si>
    <t>SPAU58</t>
  </si>
  <si>
    <t>SPAU59</t>
  </si>
  <si>
    <t>SPAU60</t>
  </si>
  <si>
    <t>SPAU61</t>
  </si>
  <si>
    <t>FA 10.51E FK 17.1-4/8K</t>
  </si>
  <si>
    <t>SPAU62</t>
  </si>
  <si>
    <t>FA 08.73W  FK 202-2/22</t>
  </si>
  <si>
    <t>SPAU63</t>
  </si>
  <si>
    <t>SPAU64</t>
  </si>
  <si>
    <t>SPAU65</t>
  </si>
  <si>
    <t>FA 10.33E  FK 17.1-4/16K</t>
  </si>
  <si>
    <t>SPAU66</t>
  </si>
  <si>
    <t>FA 10.34E  FK 17.1-4/16K</t>
  </si>
  <si>
    <t>SPAU67</t>
  </si>
  <si>
    <t>SPAU68</t>
  </si>
  <si>
    <t>FA 10.78Z  FKT 27.1-4/22K</t>
  </si>
  <si>
    <t>SPAU69</t>
  </si>
  <si>
    <t>FA 10.34E   FK 17.1-4/16K</t>
  </si>
  <si>
    <t>SPAU70</t>
  </si>
  <si>
    <t>FA 10.51E  FK 17.1-4/8K</t>
  </si>
  <si>
    <t>SPAU71</t>
  </si>
  <si>
    <t>SPAU72</t>
  </si>
  <si>
    <t>SPAU73</t>
  </si>
  <si>
    <t>SPAU74</t>
  </si>
  <si>
    <t>SPAU75</t>
  </si>
  <si>
    <t>SPAU76</t>
  </si>
  <si>
    <t>SPAU77</t>
  </si>
  <si>
    <t>SPAU78</t>
  </si>
  <si>
    <t>SPAU79</t>
  </si>
  <si>
    <t>SPAU80</t>
  </si>
  <si>
    <t>SPAU81</t>
  </si>
  <si>
    <t>SPAU82</t>
  </si>
  <si>
    <t>Diametre teava PEHD</t>
  </si>
  <si>
    <t>DN1200</t>
  </si>
  <si>
    <t>Supratraversare</t>
  </si>
  <si>
    <t>Euro/ml</t>
  </si>
  <si>
    <r>
      <rPr>
        <b/>
        <sz val="10"/>
        <rFont val="Arial"/>
        <family val="2"/>
      </rPr>
      <t>Subtraversari</t>
    </r>
    <r>
      <rPr>
        <sz val="10"/>
        <rFont val="Arial"/>
        <family val="2"/>
      </rPr>
      <t xml:space="preserve"> </t>
    </r>
  </si>
  <si>
    <r>
      <t xml:space="preserve">Pentru </t>
    </r>
    <r>
      <rPr>
        <b/>
        <sz val="10"/>
        <rFont val="Arial"/>
        <family val="2"/>
      </rPr>
      <t>supratraversari independente</t>
    </r>
    <r>
      <rPr>
        <sz val="10"/>
        <rFont val="Arial"/>
        <family val="2"/>
      </rPr>
      <t xml:space="preserve">, cu deschideri mai mari de 15 m se considera: </t>
    </r>
  </si>
  <si>
    <t>Branesti</t>
  </si>
  <si>
    <t>Statie de pompare influent</t>
  </si>
  <si>
    <t>Dezinfectie cu UV</t>
  </si>
  <si>
    <t>t/an</t>
  </si>
  <si>
    <t>Cost transport</t>
  </si>
  <si>
    <t>Euro/km</t>
  </si>
  <si>
    <t>estimare</t>
  </si>
  <si>
    <t>DESFASURATOR SUB-OBIECTE</t>
  </si>
  <si>
    <t>Cost unitar</t>
  </si>
  <si>
    <t>Nr crt</t>
  </si>
  <si>
    <t>DENUMIREA OBIECTELOR</t>
  </si>
  <si>
    <t>0</t>
  </si>
  <si>
    <t>2</t>
  </si>
  <si>
    <t>4</t>
  </si>
  <si>
    <t>/ m3 util</t>
  </si>
  <si>
    <t>Statie de suflante</t>
  </si>
  <si>
    <t>/ m2</t>
  </si>
  <si>
    <t>Echipamente electrice de proces</t>
  </si>
  <si>
    <t>Conducte tehnologice exterioare</t>
  </si>
  <si>
    <t>Conducte interioare si accesorii</t>
  </si>
  <si>
    <t>Instalatii de automatizare si control (SCADA)</t>
  </si>
  <si>
    <t>Bransament electric + PT</t>
  </si>
  <si>
    <r>
      <t>Lucrari amenajare SEAU (demolari, iluminat exterior, instalatii legare la paratrasnet, drumuri, zona parcare, garduri, porti</t>
    </r>
    <r>
      <rPr>
        <i/>
        <sz val="9"/>
        <rFont val="Arial"/>
        <family val="2"/>
      </rPr>
      <t>)</t>
    </r>
  </si>
  <si>
    <t>Fundatii speciale - amenajare teren</t>
  </si>
  <si>
    <t>TOTAL OBIECT</t>
  </si>
  <si>
    <t>cost unitar SEAU</t>
  </si>
  <si>
    <t>/ l.e.</t>
  </si>
  <si>
    <t>Calcul lucrari amenajare SEAU</t>
  </si>
  <si>
    <t>Cost total - euro</t>
  </si>
  <si>
    <t>Instalatii electrice exterioare</t>
  </si>
  <si>
    <t>Drumuri in incinta, platforme, parcari</t>
  </si>
  <si>
    <t>Imprejmuire, porti acces</t>
  </si>
  <si>
    <t xml:space="preserve">POIM DAMBOVITA - SPAU-uri </t>
  </si>
  <si>
    <t>Pret
(fara TVA)</t>
  </si>
  <si>
    <t>Pret camin decantor
fara TVA</t>
  </si>
  <si>
    <t>Pret total
(fara TVA)</t>
  </si>
  <si>
    <t>Include     Tabloul    
de    Automatizare    
si   
Control</t>
  </si>
  <si>
    <t>FA 10.34E   FK 202-4/22</t>
  </si>
  <si>
    <t>FA 10.34E   FK 202-4/12</t>
  </si>
  <si>
    <t>FA 15.95E  FK 202-4/27</t>
  </si>
  <si>
    <t>FA 15.77Z  FK 34.1-4/24</t>
  </si>
  <si>
    <t>FA 15.77Z  FK 34.1-4/33</t>
  </si>
  <si>
    <t>SPAU83</t>
  </si>
  <si>
    <t>SPAU84</t>
  </si>
  <si>
    <t>SPAU85</t>
  </si>
  <si>
    <t>SPAU86</t>
  </si>
  <si>
    <t>SPAU87</t>
  </si>
  <si>
    <t>SPAU88</t>
  </si>
  <si>
    <t>SPAU89</t>
  </si>
  <si>
    <t>SPAU90</t>
  </si>
  <si>
    <t>SEAU</t>
  </si>
  <si>
    <t>SEAU  Sanzieni noua</t>
  </si>
  <si>
    <t>SEAU Targu Secuiesc pentru Sanzieni</t>
  </si>
  <si>
    <t>1</t>
  </si>
  <si>
    <t>Gratare rare</t>
  </si>
  <si>
    <t>Pavilion tehnologic</t>
  </si>
  <si>
    <t>Statie pompare influent</t>
  </si>
  <si>
    <t>3</t>
  </si>
  <si>
    <t>Gratare dese-deznisipator/separator grasimi</t>
  </si>
  <si>
    <t>C+I inclus la "Gratare rare"</t>
  </si>
  <si>
    <t>Bazin uniformizare debite si incarcari</t>
  </si>
  <si>
    <t>5</t>
  </si>
  <si>
    <t>Reactoare biologice</t>
  </si>
  <si>
    <t>6</t>
  </si>
  <si>
    <t>7</t>
  </si>
  <si>
    <t>Tratare chimica</t>
  </si>
  <si>
    <t>8</t>
  </si>
  <si>
    <t>9</t>
  </si>
  <si>
    <t>Ingrosator gravitational namol in exces</t>
  </si>
  <si>
    <t>10</t>
  </si>
  <si>
    <t>Deshidratare mecanica</t>
  </si>
  <si>
    <t>11</t>
  </si>
  <si>
    <t>Preparare si dozare polimeri</t>
  </si>
  <si>
    <t>C+I inclus la "Deshidratare mecanica"</t>
  </si>
  <si>
    <t>12</t>
  </si>
  <si>
    <t>Statie pompare supernatant</t>
  </si>
  <si>
    <t>13</t>
  </si>
  <si>
    <t>Statie pompare apa tehnologica</t>
  </si>
  <si>
    <t>14</t>
  </si>
  <si>
    <t>Statie de pompare ape meteorice</t>
  </si>
  <si>
    <t>15</t>
  </si>
  <si>
    <t>Statie pompare apa potabila + rezerva de incendiu</t>
  </si>
  <si>
    <t>de modificat cf Aviz ISU!!!!</t>
  </si>
  <si>
    <t>16</t>
  </si>
  <si>
    <t>Platforme depozitare namol</t>
  </si>
  <si>
    <t>17</t>
  </si>
  <si>
    <t xml:space="preserve">Conducta descarcare efluent </t>
  </si>
  <si>
    <t>lungime 200m</t>
  </si>
  <si>
    <t>18</t>
  </si>
  <si>
    <t>Gura de descarcare</t>
  </si>
  <si>
    <t>19</t>
  </si>
  <si>
    <t>Cladire administrativa</t>
  </si>
  <si>
    <t>container</t>
  </si>
  <si>
    <t>20</t>
  </si>
  <si>
    <t>21</t>
  </si>
  <si>
    <t>HVAC</t>
  </si>
  <si>
    <t>22</t>
  </si>
  <si>
    <t>euro / l.e.</t>
  </si>
  <si>
    <t>23</t>
  </si>
  <si>
    <t>24</t>
  </si>
  <si>
    <t>25</t>
  </si>
  <si>
    <t>26</t>
  </si>
  <si>
    <t>27</t>
  </si>
  <si>
    <t>28</t>
  </si>
  <si>
    <t>Dotari cu echipamente de laborator</t>
  </si>
  <si>
    <t>29</t>
  </si>
  <si>
    <t>Active necorporate (licente SCADA)</t>
  </si>
  <si>
    <t>14.000 euro!!!</t>
  </si>
  <si>
    <t>verificare!!!!</t>
  </si>
  <si>
    <t xml:space="preserve">Gratare rare </t>
  </si>
  <si>
    <t>Gratar rar</t>
  </si>
  <si>
    <t>Transportor/compactor retineri gratare rare</t>
  </si>
  <si>
    <t>Unitati mecanice compacte</t>
  </si>
  <si>
    <t>Gratar des</t>
  </si>
  <si>
    <t>Transportor/Compactor retineri gratare dese</t>
  </si>
  <si>
    <t>Transportor nisip</t>
  </si>
  <si>
    <t>Qu zi med</t>
  </si>
  <si>
    <t>=</t>
  </si>
  <si>
    <t>m3/zi</t>
  </si>
  <si>
    <t>Clasificator nisip</t>
  </si>
  <si>
    <t>Qu zi max</t>
  </si>
  <si>
    <t>Compresor</t>
  </si>
  <si>
    <t>Qu or max</t>
  </si>
  <si>
    <t>m3/h</t>
  </si>
  <si>
    <t>Pompa grasimi</t>
  </si>
  <si>
    <t>Bazin de uniformizare debite si pompare apa pretratata</t>
  </si>
  <si>
    <t>Pompe apa pretratata</t>
  </si>
  <si>
    <t>Reactoare biologice - SBR. Suflante reactoare biologice</t>
  </si>
  <si>
    <t>Decanter</t>
  </si>
  <si>
    <t>Suflante reactoare biologice</t>
  </si>
  <si>
    <t>Stocare si dozare reactiv precipitare fosfor</t>
  </si>
  <si>
    <t>Pompe dozare FeCl3</t>
  </si>
  <si>
    <t>Pompe transfer FeCl3</t>
  </si>
  <si>
    <t>Rezistenta electrica</t>
  </si>
  <si>
    <t>Statie pompare efluent</t>
  </si>
  <si>
    <t>Pompe extractie namol in exces</t>
  </si>
  <si>
    <t>Pod raclor cu hersa</t>
  </si>
  <si>
    <t>Pompe namol ingrosat</t>
  </si>
  <si>
    <t>Deshidratare mecanica namol</t>
  </si>
  <si>
    <t>Instalatie de conditionare - mixer</t>
  </si>
  <si>
    <t>Pompe alimentare</t>
  </si>
  <si>
    <t>Centrifuga (tambur si surub)</t>
  </si>
  <si>
    <t>Transportor namol deshidratat</t>
  </si>
  <si>
    <t>Unitate de preparare si dozare polimer</t>
  </si>
  <si>
    <t>Unitate preparare si dozare polimeri</t>
  </si>
  <si>
    <t>Pompe dozare deshidratare</t>
  </si>
  <si>
    <t>Pompe supernatant</t>
  </si>
  <si>
    <t>Statie pompare apa potabila</t>
  </si>
  <si>
    <t>Grup pompare apa tehnologica</t>
  </si>
  <si>
    <t>functionare ocazionala</t>
  </si>
  <si>
    <t>Statie de pompare apa meteorica</t>
  </si>
  <si>
    <t xml:space="preserve">Proiect:  </t>
  </si>
  <si>
    <t>COST ECHIPAMENTE TEHNOLOGICE</t>
  </si>
  <si>
    <t>1euro=</t>
  </si>
  <si>
    <t>Cod</t>
  </si>
  <si>
    <t>Unitati in serviciu</t>
  </si>
  <si>
    <t>Lista date tehnice/Spec</t>
  </si>
  <si>
    <t>Cost unitar (euro)</t>
  </si>
  <si>
    <t>Cost total (euro)</t>
  </si>
  <si>
    <t>Obiect tehnologic</t>
  </si>
  <si>
    <t>Gratar rar automat</t>
  </si>
  <si>
    <t>Vana de perete amonte/aval</t>
  </si>
  <si>
    <r>
      <t xml:space="preserve">Transportor/compactor retineri gratare rare
</t>
    </r>
    <r>
      <rPr>
        <i/>
        <sz val="9"/>
        <rFont val="Arial"/>
        <family val="2"/>
      </rPr>
      <t>https://www.huber.de/products/screens-and-fine-screens/step-screenrs/huber-fine-screen-step-screenr-ssv.html</t>
    </r>
  </si>
  <si>
    <t>Containere 1m3</t>
  </si>
  <si>
    <t>Echipament dezodorizare</t>
  </si>
  <si>
    <t>Air filter for odor removal by catalytic activated carbon - MEVA</t>
  </si>
  <si>
    <t>Mixer</t>
  </si>
  <si>
    <t>Echipament de ridicare</t>
  </si>
  <si>
    <t>Unitati compacte deznisiptor-separator de grasimi</t>
  </si>
  <si>
    <t>Containere 1,1m3 (4 buc) si 0,5 m3 (4 buc)</t>
  </si>
  <si>
    <t>Ventilator axial</t>
  </si>
  <si>
    <t xml:space="preserve">Monorai cu palan </t>
  </si>
  <si>
    <t xml:space="preserve">Mixer </t>
  </si>
  <si>
    <t>Sistem aerare</t>
  </si>
  <si>
    <t>Pompa mobila golire bazine SBR</t>
  </si>
  <si>
    <t>Tratare chimica - reactiv precipitare fosfor</t>
  </si>
  <si>
    <t>Rezervor stocare clorura ferica - 1m3</t>
  </si>
  <si>
    <t>Pompe de dozare clorura ferica</t>
  </si>
  <si>
    <t>Cabinet de transfer</t>
  </si>
  <si>
    <t>Echipament dezinfectie in-line</t>
  </si>
  <si>
    <t>Cladire suflante</t>
  </si>
  <si>
    <t>Monorail cu palan pt suflante</t>
  </si>
  <si>
    <t>Monorai cu palan</t>
  </si>
  <si>
    <t>Deversor metalic reglabil (AISI316L)</t>
  </si>
  <si>
    <t>Reactor amestec</t>
  </si>
  <si>
    <t>Echipament deshidratare - centrifuga</t>
  </si>
  <si>
    <t xml:space="preserve">Containere </t>
  </si>
  <si>
    <t>Monorail cu palan</t>
  </si>
  <si>
    <t>Dus de securitate</t>
  </si>
  <si>
    <t>Pompe dozare polimer</t>
  </si>
  <si>
    <t xml:space="preserve">Statie pompare supernatant </t>
  </si>
  <si>
    <t>Suport macara mobila</t>
  </si>
  <si>
    <t>Grup booster apa epurata</t>
  </si>
  <si>
    <t>Recipient hidrofor cu membrana sub presiune + pompa de basa</t>
  </si>
  <si>
    <t>Pre-epurare ape meteorice</t>
  </si>
  <si>
    <t>Instalatie pre-epurare ape meteorice</t>
  </si>
  <si>
    <t>volum retentie 10m3</t>
  </si>
  <si>
    <t>Grup de pompare apa potabila</t>
  </si>
  <si>
    <t>Grup de pompare si hidrofor cu membrana</t>
  </si>
  <si>
    <t>Statie receptie vidanja</t>
  </si>
  <si>
    <t>Total utilaje de proces =</t>
  </si>
  <si>
    <t>Costuri cu transportul namolului</t>
  </si>
  <si>
    <t>CLUSTER BELIN</t>
  </si>
  <si>
    <t>AGLOMERAREA BELIN</t>
  </si>
  <si>
    <r>
      <t xml:space="preserve">Statie de epurare noua in Sanzieni - </t>
    </r>
    <r>
      <rPr>
        <sz val="11"/>
        <color rgb="FFFF0000"/>
        <rFont val="Calibri"/>
        <family val="2"/>
        <scheme val="minor"/>
      </rPr>
      <t>2.700 l.e.</t>
    </r>
  </si>
  <si>
    <t>Aglomerarea Belin</t>
  </si>
  <si>
    <t>Descarcare in SEAU Sfantu Gheorghe existenta</t>
  </si>
  <si>
    <t>STATIE DE EPURARE BELIN 2.700 l.e. - Tehnologia SBR</t>
  </si>
  <si>
    <t>Statia de epurare Belin</t>
  </si>
  <si>
    <t>SEAU Belin</t>
  </si>
  <si>
    <t>Optiunea xxx</t>
  </si>
  <si>
    <t>Descarcarea debitelor de apă uzată din Aglomerararea Belin in SEAU noua Belin.</t>
  </si>
  <si>
    <t>Descarcarea debitelor de apă uzată din Aglomerararea Belin in SEAU Sfantu Gheorghe existenta.</t>
  </si>
  <si>
    <t>Descarcare in SEAU Belin noua</t>
  </si>
  <si>
    <t>descarcare in</t>
  </si>
  <si>
    <t>SEAU Sfantu Gheorghe</t>
  </si>
  <si>
    <t>SEAU Sf Gheorghe existenta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</si>
</sst>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(* #,##0_);_(* \(#,##0\);_(* &quot;-&quot;_);_(@_)"/>
    <numFmt numFmtId="165" formatCode="_(* #,##0.00_);_(* \(#,##0.00\);_(* &quot;-&quot;??_);_(@_)"/>
    <numFmt numFmtId="166" formatCode="_-* #,##0\ _l_e_i_-;\-* #,##0\ _l_e_i_-;_-* &quot;-&quot;\ _l_e_i_-;_-@_-"/>
    <numFmt numFmtId="167" formatCode="_-* #,##0.00\ _l_e_i_-;\-* #,##0.00\ _l_e_i_-;_-* &quot;-&quot;??\ _l_e_i_-;_-@_-"/>
    <numFmt numFmtId="168" formatCode="0.000"/>
    <numFmt numFmtId="169" formatCode="0.0"/>
    <numFmt numFmtId="170" formatCode="_(* #,##0_);_(* \(#,##0\);_(* &quot;-&quot;??_);_(@_)"/>
    <numFmt numFmtId="171" formatCode="_(* #,##0.00_);_(* \(#,##0.00\);_(* &quot;-&quot;_);_(@_)"/>
    <numFmt numFmtId="172" formatCode="0.0%"/>
    <numFmt numFmtId="173" formatCode="_-* #,##0.000\ _l_e_i_-;\-* #,##0.000\ _l_e_i_-;_-* &quot;-&quot;???\ _l_e_i_-;_-@_-"/>
    <numFmt numFmtId="174" formatCode="#,##0.0000"/>
    <numFmt numFmtId="175" formatCode="#,##0.0"/>
    <numFmt numFmtId="176" formatCode="_-* #,##0.00\ [$€-1]_-;\-* #,##0.00\ [$€-1]_-;_-* &quot;-&quot;??\ [$€-1]_-;_-@_-"/>
    <numFmt numFmtId="177" formatCode="&quot;$&quot;#,##0.00"/>
    <numFmt numFmtId="178" formatCode="#,##0.00\ [$€-425]"/>
    <numFmt numFmtId="179" formatCode="#,##0.00\ [$€-1]"/>
    <numFmt numFmtId="180" formatCode="#,##0\ [$€-1]"/>
    <numFmt numFmtId="181" formatCode="_-* #,##0.0\ [$lei-418]_-;\-* #,##0.0\ [$lei-418]_-;_-* &quot;-&quot;??\ [$lei-418]_-;_-@_-"/>
  </numFmts>
  <fonts count="11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b/>
      <sz val="10"/>
      <color rgb="FF0070C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00B0F0"/>
      <name val="Calibri"/>
      <family val="2"/>
      <scheme val="minor"/>
    </font>
    <font>
      <b/>
      <sz val="11"/>
      <name val="Arial"/>
      <family val="2"/>
    </font>
    <font>
      <sz val="11"/>
      <color rgb="FF00B0F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0" tint="-0.249977111117893"/>
      <name val="Arial"/>
      <family val="2"/>
    </font>
    <font>
      <b/>
      <sz val="12"/>
      <color theme="0" tint="-0.249977111117893"/>
      <name val="Arial"/>
      <family val="2"/>
    </font>
    <font>
      <sz val="10"/>
      <color theme="0" tint="-0.249977111117893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i/>
      <sz val="10"/>
      <name val="Calibri"/>
      <family val="2"/>
      <scheme val="minor"/>
    </font>
    <font>
      <sz val="12"/>
      <name val="Calibri"/>
      <family val="2"/>
      <scheme val="minor"/>
    </font>
    <font>
      <i/>
      <sz val="12"/>
      <color rgb="FFC00000"/>
      <name val="Calibri"/>
      <family val="2"/>
      <charset val="238"/>
      <scheme val="minor"/>
    </font>
    <font>
      <i/>
      <sz val="10"/>
      <color rgb="FFC00000"/>
      <name val="Arial"/>
      <family val="2"/>
      <charset val="238"/>
    </font>
    <font>
      <sz val="10"/>
      <color theme="1"/>
      <name val="Arial"/>
      <family val="2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u/>
      <sz val="12"/>
      <name val="Calibri"/>
      <family val="2"/>
    </font>
    <font>
      <sz val="12"/>
      <name val="Calibri"/>
      <family val="2"/>
    </font>
    <font>
      <vertAlign val="superscript"/>
      <sz val="12"/>
      <color indexed="8"/>
      <name val="Calibri"/>
      <family val="2"/>
    </font>
    <font>
      <sz val="12"/>
      <color indexed="8"/>
      <name val="Calibri"/>
      <family val="2"/>
    </font>
    <font>
      <b/>
      <vertAlign val="superscript"/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9"/>
      <color rgb="FFFFFFFF"/>
      <name val="Times New Roman"/>
      <family val="1"/>
    </font>
    <font>
      <b/>
      <sz val="8"/>
      <color rgb="FFFFFFFF"/>
      <name val="Times New Roman"/>
      <family val="1"/>
    </font>
    <font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7" tint="-0.249977111117893"/>
      <name val="Arial"/>
      <family val="2"/>
    </font>
    <font>
      <sz val="10"/>
      <color indexed="81"/>
      <name val="Arial"/>
      <family val="2"/>
    </font>
    <font>
      <sz val="9"/>
      <name val="Calibri"/>
      <family val="2"/>
      <scheme val="minor"/>
    </font>
    <font>
      <i/>
      <sz val="9"/>
      <name val="Arial"/>
      <family val="2"/>
    </font>
    <font>
      <sz val="8"/>
      <name val="Arial"/>
      <family val="2"/>
      <charset val="238"/>
    </font>
    <font>
      <i/>
      <sz val="11"/>
      <color rgb="FFFF0000"/>
      <name val="Calibri"/>
      <family val="2"/>
      <scheme val="minor"/>
    </font>
    <font>
      <b/>
      <i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  <charset val="238"/>
    </font>
    <font>
      <b/>
      <i/>
      <sz val="9"/>
      <name val="Arial"/>
      <family val="2"/>
    </font>
    <font>
      <b/>
      <sz val="9"/>
      <name val="Calibri"/>
      <family val="2"/>
      <scheme val="minor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trike/>
      <sz val="10"/>
      <color rgb="FFFF0000"/>
      <name val="Arial"/>
      <family val="2"/>
    </font>
    <font>
      <strike/>
      <sz val="11"/>
      <color rgb="FFFF0000"/>
      <name val="Calibri"/>
      <family val="2"/>
      <scheme val="minor"/>
    </font>
    <font>
      <sz val="8"/>
      <color rgb="FFFF0000"/>
      <name val="Arial"/>
      <family val="2"/>
    </font>
    <font>
      <b/>
      <i/>
      <sz val="10"/>
      <color rgb="FFFF0000"/>
      <name val="Arial"/>
      <family val="2"/>
    </font>
    <font>
      <b/>
      <sz val="8"/>
      <color rgb="FFFF0000"/>
      <name val="Arial"/>
      <family val="2"/>
    </font>
    <font>
      <i/>
      <sz val="9"/>
      <color rgb="FFFF0000"/>
      <name val="Arial"/>
      <family val="2"/>
    </font>
    <font>
      <sz val="9"/>
      <color rgb="FFFF0000"/>
      <name val="Arial"/>
      <family val="2"/>
    </font>
    <font>
      <b/>
      <i/>
      <sz val="9"/>
      <color rgb="FFFF0000"/>
      <name val="Arial"/>
      <family val="2"/>
    </font>
    <font>
      <i/>
      <sz val="10"/>
      <color rgb="FFFF0000"/>
      <name val="Arial"/>
      <family val="2"/>
    </font>
    <font>
      <b/>
      <sz val="9"/>
      <color theme="3" tint="0.39997558519241921"/>
      <name val="Arial"/>
      <family val="2"/>
    </font>
    <font>
      <sz val="9"/>
      <color theme="3"/>
      <name val="Arial"/>
      <family val="2"/>
    </font>
    <font>
      <b/>
      <sz val="9"/>
      <color theme="4"/>
      <name val="Arial"/>
      <family val="2"/>
    </font>
    <font>
      <b/>
      <u/>
      <sz val="12"/>
      <name val="Arial"/>
      <family val="2"/>
    </font>
    <font>
      <sz val="10"/>
      <color indexed="8"/>
      <name val="Arial"/>
      <family val="2"/>
    </font>
    <font>
      <b/>
      <i/>
      <sz val="18"/>
      <color rgb="FFFF0000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strike/>
      <sz val="9"/>
      <color theme="1"/>
      <name val="Calibri"/>
      <family val="2"/>
      <scheme val="minor"/>
    </font>
    <font>
      <b/>
      <sz val="9"/>
      <color theme="3" tint="0.3999755851924192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FF0000"/>
      <name val="Arial"/>
      <family val="2"/>
    </font>
    <font>
      <b/>
      <strike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trike/>
      <sz val="12"/>
      <color rgb="FFFF0000"/>
      <name val="Calibri"/>
      <family val="2"/>
      <scheme val="minor"/>
    </font>
    <font>
      <b/>
      <strike/>
      <sz val="11"/>
      <color rgb="FFFF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0" fontId="7" fillId="0" borderId="0"/>
    <xf numFmtId="165" fontId="25" fillId="0" borderId="0" applyFont="0" applyFill="0" applyBorder="0" applyAlignment="0" applyProtection="0"/>
    <xf numFmtId="0" fontId="26" fillId="0" borderId="0"/>
    <xf numFmtId="9" fontId="25" fillId="0" borderId="0" applyFont="0" applyFill="0" applyBorder="0" applyAlignment="0" applyProtection="0"/>
    <xf numFmtId="0" fontId="10" fillId="0" borderId="0"/>
    <xf numFmtId="0" fontId="5" fillId="0" borderId="0"/>
    <xf numFmtId="0" fontId="59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26" fillId="0" borderId="0"/>
    <xf numFmtId="0" fontId="5" fillId="0" borderId="0"/>
    <xf numFmtId="0" fontId="5" fillId="0" borderId="0"/>
    <xf numFmtId="0" fontId="10" fillId="0" borderId="0"/>
    <xf numFmtId="0" fontId="4" fillId="0" borderId="0"/>
    <xf numFmtId="0" fontId="4" fillId="0" borderId="0"/>
    <xf numFmtId="9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1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10" fillId="0" borderId="3" xfId="0" applyFont="1" applyBorder="1" applyAlignment="1">
      <alignment horizontal="righ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wrapText="1"/>
    </xf>
    <xf numFmtId="168" fontId="0" fillId="0" borderId="12" xfId="0" applyNumberFormat="1" applyFill="1" applyBorder="1" applyAlignment="1">
      <alignment horizontal="center" wrapText="1"/>
    </xf>
    <xf numFmtId="168" fontId="8" fillId="0" borderId="13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14" xfId="0" applyFill="1" applyBorder="1" applyAlignment="1">
      <alignment wrapText="1"/>
    </xf>
    <xf numFmtId="168" fontId="0" fillId="0" borderId="15" xfId="0" applyNumberFormat="1" applyFill="1" applyBorder="1" applyAlignment="1">
      <alignment horizontal="center" wrapText="1"/>
    </xf>
    <xf numFmtId="168" fontId="8" fillId="0" borderId="16" xfId="0" applyNumberFormat="1" applyFont="1" applyFill="1" applyBorder="1" applyAlignment="1">
      <alignment horizontal="center"/>
    </xf>
    <xf numFmtId="0" fontId="0" fillId="0" borderId="14" xfId="0" applyFill="1" applyBorder="1"/>
    <xf numFmtId="168" fontId="0" fillId="0" borderId="13" xfId="0" applyNumberForma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17" xfId="0" applyFill="1" applyBorder="1" applyAlignment="1">
      <alignment wrapText="1"/>
    </xf>
    <xf numFmtId="0" fontId="0" fillId="0" borderId="17" xfId="0" applyFill="1" applyBorder="1"/>
    <xf numFmtId="1" fontId="0" fillId="0" borderId="18" xfId="0" applyNumberFormat="1" applyFill="1" applyBorder="1" applyAlignment="1">
      <alignment horizontal="center"/>
    </xf>
    <xf numFmtId="1" fontId="0" fillId="0" borderId="19" xfId="0" applyNumberFormat="1" applyFill="1" applyBorder="1" applyAlignment="1">
      <alignment horizontal="center"/>
    </xf>
    <xf numFmtId="1" fontId="0" fillId="0" borderId="20" xfId="0" applyNumberFormat="1" applyFill="1" applyBorder="1" applyAlignment="1">
      <alignment horizontal="center"/>
    </xf>
    <xf numFmtId="0" fontId="10" fillId="0" borderId="21" xfId="0" applyFont="1" applyBorder="1" applyAlignment="1">
      <alignment horizontal="center" vertical="top" wrapText="1"/>
    </xf>
    <xf numFmtId="168" fontId="0" fillId="0" borderId="7" xfId="0" applyNumberFormat="1" applyFill="1" applyBorder="1" applyAlignment="1">
      <alignment horizontal="center"/>
    </xf>
    <xf numFmtId="168" fontId="8" fillId="0" borderId="22" xfId="0" applyNumberFormat="1" applyFont="1" applyFill="1" applyBorder="1" applyAlignment="1">
      <alignment horizontal="center"/>
    </xf>
    <xf numFmtId="168" fontId="8" fillId="0" borderId="23" xfId="0" applyNumberFormat="1" applyFont="1" applyFill="1" applyBorder="1" applyAlignment="1">
      <alignment horizontal="center"/>
    </xf>
    <xf numFmtId="168" fontId="8" fillId="0" borderId="3" xfId="0" applyNumberFormat="1" applyFont="1" applyFill="1" applyBorder="1" applyAlignment="1">
      <alignment horizontal="center"/>
    </xf>
    <xf numFmtId="168" fontId="8" fillId="0" borderId="4" xfId="0" applyNumberFormat="1" applyFont="1" applyFill="1" applyBorder="1" applyAlignment="1">
      <alignment horizontal="center"/>
    </xf>
    <xf numFmtId="168" fontId="8" fillId="0" borderId="5" xfId="0" applyNumberFormat="1" applyFont="1" applyFill="1" applyBorder="1" applyAlignment="1">
      <alignment horizontal="center"/>
    </xf>
    <xf numFmtId="168" fontId="8" fillId="0" borderId="18" xfId="0" applyNumberFormat="1" applyFont="1" applyFill="1" applyBorder="1" applyAlignment="1">
      <alignment horizontal="center"/>
    </xf>
    <xf numFmtId="168" fontId="8" fillId="0" borderId="6" xfId="0" applyNumberFormat="1" applyFont="1" applyFill="1" applyBorder="1" applyAlignment="1">
      <alignment horizontal="center"/>
    </xf>
    <xf numFmtId="168" fontId="8" fillId="0" borderId="19" xfId="0" applyNumberFormat="1" applyFont="1" applyFill="1" applyBorder="1" applyAlignment="1">
      <alignment horizontal="center"/>
    </xf>
    <xf numFmtId="168" fontId="8" fillId="0" borderId="24" xfId="0" applyNumberFormat="1" applyFont="1" applyFill="1" applyBorder="1" applyAlignment="1">
      <alignment horizontal="center"/>
    </xf>
    <xf numFmtId="168" fontId="8" fillId="0" borderId="20" xfId="0" applyNumberFormat="1" applyFont="1" applyFill="1" applyBorder="1" applyAlignment="1">
      <alignment horizontal="center"/>
    </xf>
    <xf numFmtId="0" fontId="10" fillId="0" borderId="25" xfId="0" applyFont="1" applyBorder="1" applyAlignment="1">
      <alignment horizontal="center" vertical="top" wrapText="1"/>
    </xf>
    <xf numFmtId="168" fontId="8" fillId="0" borderId="7" xfId="0" applyNumberFormat="1" applyFont="1" applyFill="1" applyBorder="1" applyAlignment="1">
      <alignment horizontal="center"/>
    </xf>
    <xf numFmtId="168" fontId="8" fillId="0" borderId="26" xfId="0" applyNumberFormat="1" applyFont="1" applyFill="1" applyBorder="1" applyAlignment="1">
      <alignment horizontal="center"/>
    </xf>
    <xf numFmtId="0" fontId="10" fillId="0" borderId="27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168" fontId="8" fillId="0" borderId="28" xfId="0" applyNumberFormat="1" applyFont="1" applyFill="1" applyBorder="1" applyAlignment="1">
      <alignment horizontal="center"/>
    </xf>
    <xf numFmtId="168" fontId="8" fillId="0" borderId="8" xfId="0" applyNumberFormat="1" applyFont="1" applyFill="1" applyBorder="1" applyAlignment="1">
      <alignment horizontal="center"/>
    </xf>
    <xf numFmtId="168" fontId="8" fillId="0" borderId="29" xfId="0" applyNumberFormat="1" applyFont="1" applyFill="1" applyBorder="1" applyAlignment="1">
      <alignment horizontal="center"/>
    </xf>
    <xf numFmtId="168" fontId="8" fillId="0" borderId="30" xfId="0" applyNumberFormat="1" applyFont="1" applyFill="1" applyBorder="1" applyAlignment="1">
      <alignment horizontal="center"/>
    </xf>
    <xf numFmtId="168" fontId="8" fillId="0" borderId="17" xfId="0" applyNumberFormat="1" applyFont="1" applyFill="1" applyBorder="1" applyAlignment="1">
      <alignment horizontal="center"/>
    </xf>
    <xf numFmtId="168" fontId="8" fillId="0" borderId="14" xfId="0" applyNumberFormat="1" applyFont="1" applyFill="1" applyBorder="1" applyAlignment="1">
      <alignment horizontal="center"/>
    </xf>
    <xf numFmtId="0" fontId="10" fillId="0" borderId="17" xfId="0" applyFont="1" applyBorder="1" applyAlignment="1">
      <alignment horizontal="center" vertical="top" wrapText="1"/>
    </xf>
    <xf numFmtId="0" fontId="10" fillId="0" borderId="31" xfId="0" applyFont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2" fontId="8" fillId="0" borderId="17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2" fontId="8" fillId="0" borderId="29" xfId="0" applyNumberFormat="1" applyFont="1" applyFill="1" applyBorder="1" applyAlignment="1">
      <alignment horizontal="center"/>
    </xf>
    <xf numFmtId="2" fontId="8" fillId="0" borderId="11" xfId="0" applyNumberFormat="1" applyFont="1" applyFill="1" applyBorder="1" applyAlignment="1">
      <alignment horizontal="center"/>
    </xf>
    <xf numFmtId="2" fontId="8" fillId="0" borderId="30" xfId="0" applyNumberFormat="1" applyFont="1" applyFill="1" applyBorder="1" applyAlignment="1">
      <alignment horizontal="center"/>
    </xf>
    <xf numFmtId="2" fontId="9" fillId="3" borderId="29" xfId="0" applyNumberFormat="1" applyFont="1" applyFill="1" applyBorder="1" applyAlignment="1">
      <alignment horizontal="center"/>
    </xf>
    <xf numFmtId="2" fontId="9" fillId="3" borderId="11" xfId="0" applyNumberFormat="1" applyFont="1" applyFill="1" applyBorder="1" applyAlignment="1">
      <alignment horizontal="center"/>
    </xf>
    <xf numFmtId="2" fontId="9" fillId="3" borderId="30" xfId="0" applyNumberFormat="1" applyFont="1" applyFill="1" applyBorder="1" applyAlignment="1">
      <alignment horizontal="center"/>
    </xf>
    <xf numFmtId="168" fontId="0" fillId="0" borderId="26" xfId="0" applyNumberFormat="1" applyFill="1" applyBorder="1" applyAlignment="1">
      <alignment horizontal="center"/>
    </xf>
    <xf numFmtId="168" fontId="9" fillId="3" borderId="12" xfId="0" applyNumberFormat="1" applyFont="1" applyFill="1" applyBorder="1" applyAlignment="1">
      <alignment horizontal="center"/>
    </xf>
    <xf numFmtId="168" fontId="9" fillId="3" borderId="15" xfId="0" applyNumberFormat="1" applyFont="1" applyFill="1" applyBorder="1" applyAlignment="1">
      <alignment horizontal="center"/>
    </xf>
    <xf numFmtId="168" fontId="9" fillId="3" borderId="13" xfId="0" applyNumberFormat="1" applyFont="1" applyFill="1" applyBorder="1" applyAlignment="1">
      <alignment horizontal="center"/>
    </xf>
    <xf numFmtId="0" fontId="10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0" fillId="0" borderId="32" xfId="0" applyFont="1" applyBorder="1" applyAlignment="1">
      <alignment horizontal="center" vertical="top" wrapText="1"/>
    </xf>
    <xf numFmtId="0" fontId="10" fillId="0" borderId="25" xfId="0" applyFont="1" applyBorder="1" applyAlignment="1">
      <alignment vertical="top" wrapText="1"/>
    </xf>
    <xf numFmtId="168" fontId="0" fillId="0" borderId="9" xfId="0" applyNumberFormat="1" applyFill="1" applyBorder="1" applyAlignment="1">
      <alignment horizontal="center"/>
    </xf>
    <xf numFmtId="168" fontId="0" fillId="0" borderId="10" xfId="0" applyNumberForma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top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0" fontId="8" fillId="0" borderId="18" xfId="0" applyFont="1" applyFill="1" applyBorder="1" applyAlignment="1">
      <alignment horizontal="center" vertical="center"/>
    </xf>
    <xf numFmtId="2" fontId="0" fillId="4" borderId="13" xfId="0" applyNumberFormat="1" applyFill="1" applyBorder="1" applyAlignment="1">
      <alignment horizontal="center" vertical="center"/>
    </xf>
    <xf numFmtId="2" fontId="0" fillId="0" borderId="13" xfId="0" applyNumberFormat="1" applyFill="1" applyBorder="1" applyAlignment="1">
      <alignment horizontal="center" vertical="center"/>
    </xf>
    <xf numFmtId="1" fontId="8" fillId="0" borderId="13" xfId="0" applyNumberFormat="1" applyFont="1" applyFill="1" applyBorder="1" applyAlignment="1">
      <alignment horizontal="center" vertical="center"/>
    </xf>
    <xf numFmtId="1" fontId="14" fillId="3" borderId="1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3" fillId="0" borderId="0" xfId="0" applyFont="1" applyFill="1" applyAlignment="1">
      <alignment horizontal="center"/>
    </xf>
    <xf numFmtId="0" fontId="10" fillId="0" borderId="55" xfId="0" applyFont="1" applyBorder="1" applyAlignment="1">
      <alignment horizontal="center" vertical="top" wrapText="1"/>
    </xf>
    <xf numFmtId="0" fontId="10" fillId="5" borderId="21" xfId="0" applyFont="1" applyFill="1" applyBorder="1" applyAlignment="1">
      <alignment horizontal="center" vertical="top" wrapText="1"/>
    </xf>
    <xf numFmtId="0" fontId="10" fillId="5" borderId="51" xfId="0" applyFont="1" applyFill="1" applyBorder="1" applyAlignment="1">
      <alignment horizontal="center" vertical="top" wrapText="1"/>
    </xf>
    <xf numFmtId="0" fontId="10" fillId="5" borderId="52" xfId="0" applyFont="1" applyFill="1" applyBorder="1" applyAlignment="1">
      <alignment horizontal="center" vertical="top" wrapText="1"/>
    </xf>
    <xf numFmtId="0" fontId="10" fillId="5" borderId="55" xfId="0" applyFont="1" applyFill="1" applyBorder="1" applyAlignment="1">
      <alignment horizontal="center" vertical="top" wrapText="1"/>
    </xf>
    <xf numFmtId="1" fontId="16" fillId="5" borderId="8" xfId="0" applyNumberFormat="1" applyFont="1" applyFill="1" applyBorder="1" applyAlignment="1">
      <alignment horizontal="center"/>
    </xf>
    <xf numFmtId="1" fontId="16" fillId="5" borderId="59" xfId="0" applyNumberFormat="1" applyFont="1" applyFill="1" applyBorder="1" applyAlignment="1">
      <alignment horizontal="center"/>
    </xf>
    <xf numFmtId="1" fontId="16" fillId="5" borderId="11" xfId="0" applyNumberFormat="1" applyFon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1" fontId="0" fillId="0" borderId="59" xfId="0" applyNumberForma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0" fontId="17" fillId="6" borderId="12" xfId="1" applyFont="1" applyFill="1" applyBorder="1"/>
    <xf numFmtId="0" fontId="17" fillId="6" borderId="12" xfId="1" applyFont="1" applyFill="1" applyBorder="1" applyAlignment="1">
      <alignment horizontal="center"/>
    </xf>
    <xf numFmtId="0" fontId="17" fillId="6" borderId="12" xfId="1" applyFont="1" applyFill="1" applyBorder="1" applyAlignment="1">
      <alignment horizontal="left"/>
    </xf>
    <xf numFmtId="0" fontId="7" fillId="0" borderId="0" xfId="1" applyAlignment="1">
      <alignment horizontal="center"/>
    </xf>
    <xf numFmtId="0" fontId="7" fillId="0" borderId="0" xfId="1"/>
    <xf numFmtId="0" fontId="7" fillId="0" borderId="12" xfId="1" applyBorder="1"/>
    <xf numFmtId="37" fontId="7" fillId="0" borderId="12" xfId="1" applyNumberFormat="1" applyBorder="1" applyAlignment="1">
      <alignment horizontal="center" vertical="center"/>
    </xf>
    <xf numFmtId="164" fontId="7" fillId="0" borderId="12" xfId="1" applyNumberFormat="1" applyBorder="1" applyAlignment="1">
      <alignment horizontal="center"/>
    </xf>
    <xf numFmtId="37" fontId="7" fillId="0" borderId="0" xfId="1" applyNumberFormat="1" applyAlignment="1">
      <alignment horizontal="center" vertical="center"/>
    </xf>
    <xf numFmtId="164" fontId="7" fillId="0" borderId="0" xfId="1" applyNumberFormat="1" applyAlignment="1">
      <alignment horizontal="center"/>
    </xf>
    <xf numFmtId="0" fontId="7" fillId="0" borderId="12" xfId="1" applyBorder="1" applyAlignment="1">
      <alignment horizontal="left"/>
    </xf>
    <xf numFmtId="0" fontId="7" fillId="0" borderId="0" xfId="1" applyAlignment="1">
      <alignment horizontal="left"/>
    </xf>
    <xf numFmtId="37" fontId="7" fillId="0" borderId="12" xfId="1" applyNumberFormat="1" applyFill="1" applyBorder="1" applyAlignment="1">
      <alignment horizontal="center" vertical="center"/>
    </xf>
    <xf numFmtId="37" fontId="18" fillId="0" borderId="0" xfId="1" applyNumberFormat="1" applyFont="1" applyAlignment="1">
      <alignment horizontal="center" vertical="center"/>
    </xf>
    <xf numFmtId="0" fontId="10" fillId="0" borderId="0" xfId="0" applyFont="1"/>
    <xf numFmtId="0" fontId="0" fillId="0" borderId="12" xfId="0" applyBorder="1"/>
    <xf numFmtId="0" fontId="10" fillId="0" borderId="0" xfId="0" applyFont="1" applyAlignment="1">
      <alignment horizontal="center"/>
    </xf>
    <xf numFmtId="3" fontId="20" fillId="0" borderId="0" xfId="0" applyNumberFormat="1" applyFont="1" applyBorder="1" applyAlignment="1">
      <alignment horizontal="right" vertical="center"/>
    </xf>
    <xf numFmtId="3" fontId="20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horizontal="right" vertical="center"/>
    </xf>
    <xf numFmtId="37" fontId="21" fillId="0" borderId="12" xfId="1" applyNumberFormat="1" applyFont="1" applyBorder="1" applyAlignment="1">
      <alignment horizontal="center" vertical="center"/>
    </xf>
    <xf numFmtId="0" fontId="17" fillId="0" borderId="0" xfId="1" applyFont="1"/>
    <xf numFmtId="2" fontId="7" fillId="0" borderId="0" xfId="1" applyNumberFormat="1"/>
    <xf numFmtId="2" fontId="6" fillId="0" borderId="0" xfId="1" applyNumberFormat="1" applyFont="1"/>
    <xf numFmtId="0" fontId="6" fillId="0" borderId="0" xfId="1" applyFont="1"/>
    <xf numFmtId="37" fontId="7" fillId="0" borderId="0" xfId="1" applyNumberFormat="1"/>
    <xf numFmtId="37" fontId="6" fillId="0" borderId="0" xfId="1" applyNumberFormat="1" applyFont="1"/>
    <xf numFmtId="0" fontId="21" fillId="0" borderId="12" xfId="1" applyFont="1" applyBorder="1"/>
    <xf numFmtId="37" fontId="21" fillId="0" borderId="12" xfId="1" applyNumberFormat="1" applyFont="1" applyFill="1" applyBorder="1" applyAlignment="1">
      <alignment horizontal="center" vertical="center"/>
    </xf>
    <xf numFmtId="0" fontId="21" fillId="0" borderId="0" xfId="1" applyFont="1"/>
    <xf numFmtId="0" fontId="21" fillId="0" borderId="0" xfId="1" applyFont="1" applyAlignment="1">
      <alignment horizontal="center"/>
    </xf>
    <xf numFmtId="37" fontId="23" fillId="0" borderId="0" xfId="1" applyNumberFormat="1" applyFont="1" applyAlignment="1">
      <alignment horizontal="center" vertical="center"/>
    </xf>
    <xf numFmtId="0" fontId="0" fillId="0" borderId="1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21" xfId="0" applyFont="1" applyBorder="1" applyAlignment="1">
      <alignment horizontal="center" vertical="top" wrapText="1"/>
    </xf>
    <xf numFmtId="0" fontId="10" fillId="0" borderId="12" xfId="0" applyFont="1" applyBorder="1"/>
    <xf numFmtId="0" fontId="26" fillId="0" borderId="0" xfId="3"/>
    <xf numFmtId="0" fontId="26" fillId="0" borderId="0" xfId="3" applyFill="1" applyAlignment="1">
      <alignment horizontal="left" wrapText="1"/>
    </xf>
    <xf numFmtId="0" fontId="26" fillId="0" borderId="0" xfId="3" applyAlignment="1">
      <alignment horizontal="left"/>
    </xf>
    <xf numFmtId="0" fontId="26" fillId="0" borderId="0" xfId="3" applyAlignment="1">
      <alignment horizontal="left" wrapText="1"/>
    </xf>
    <xf numFmtId="0" fontId="26" fillId="0" borderId="0" xfId="3" applyBorder="1" applyAlignment="1">
      <alignment horizontal="center"/>
    </xf>
    <xf numFmtId="169" fontId="26" fillId="0" borderId="0" xfId="3" applyNumberFormat="1" applyBorder="1" applyAlignment="1">
      <alignment horizontal="center"/>
    </xf>
    <xf numFmtId="0" fontId="26" fillId="0" borderId="0" xfId="3" applyBorder="1"/>
    <xf numFmtId="0" fontId="9" fillId="0" borderId="0" xfId="3" applyFont="1" applyAlignment="1">
      <alignment horizontal="left"/>
    </xf>
    <xf numFmtId="0" fontId="8" fillId="0" borderId="0" xfId="3" applyFont="1" applyFill="1" applyAlignment="1">
      <alignment horizontal="left" wrapText="1"/>
    </xf>
    <xf numFmtId="0" fontId="8" fillId="0" borderId="0" xfId="3" applyFont="1" applyAlignment="1">
      <alignment horizontal="left"/>
    </xf>
    <xf numFmtId="0" fontId="8" fillId="0" borderId="0" xfId="3" applyFont="1" applyAlignment="1">
      <alignment horizontal="right"/>
    </xf>
    <xf numFmtId="0" fontId="10" fillId="0" borderId="0" xfId="3" applyFont="1" applyFill="1" applyAlignment="1">
      <alignment horizontal="center" vertical="top" wrapText="1"/>
    </xf>
    <xf numFmtId="0" fontId="10" fillId="0" borderId="1" xfId="3" applyFont="1" applyBorder="1" applyAlignment="1">
      <alignment horizontal="center" vertical="top" wrapText="1"/>
    </xf>
    <xf numFmtId="0" fontId="10" fillId="7" borderId="1" xfId="3" applyFont="1" applyFill="1" applyBorder="1" applyAlignment="1">
      <alignment horizontal="center" vertical="top" wrapText="1"/>
    </xf>
    <xf numFmtId="0" fontId="10" fillId="0" borderId="21" xfId="3" applyFont="1" applyBorder="1" applyAlignment="1">
      <alignment horizontal="center" vertical="top" wrapText="1"/>
    </xf>
    <xf numFmtId="169" fontId="10" fillId="0" borderId="8" xfId="3" applyNumberFormat="1" applyFont="1" applyBorder="1" applyAlignment="1">
      <alignment horizontal="center" vertical="top" wrapText="1"/>
    </xf>
    <xf numFmtId="0" fontId="10" fillId="0" borderId="0" xfId="3" applyFont="1" applyAlignment="1">
      <alignment horizontal="center" vertical="top" wrapText="1"/>
    </xf>
    <xf numFmtId="0" fontId="10" fillId="0" borderId="0" xfId="3" applyFont="1" applyFill="1" applyBorder="1" applyAlignment="1">
      <alignment vertical="top" wrapText="1"/>
    </xf>
    <xf numFmtId="0" fontId="10" fillId="0" borderId="3" xfId="3" applyFont="1" applyBorder="1" applyAlignment="1">
      <alignment horizontal="right" vertical="top" wrapText="1"/>
    </xf>
    <xf numFmtId="0" fontId="10" fillId="0" borderId="4" xfId="3" applyFont="1" applyBorder="1" applyAlignment="1">
      <alignment horizontal="left" vertical="top" wrapText="1"/>
    </xf>
    <xf numFmtId="0" fontId="10" fillId="0" borderId="4" xfId="3" applyFont="1" applyBorder="1" applyAlignment="1">
      <alignment vertical="top" wrapText="1"/>
    </xf>
    <xf numFmtId="0" fontId="10" fillId="0" borderId="5" xfId="3" applyFont="1" applyBorder="1" applyAlignment="1">
      <alignment horizontal="center" vertical="top" wrapText="1"/>
    </xf>
    <xf numFmtId="0" fontId="10" fillId="0" borderId="25" xfId="3" applyFont="1" applyBorder="1" applyAlignment="1">
      <alignment horizontal="center" vertical="top" wrapText="1"/>
    </xf>
    <xf numFmtId="0" fontId="10" fillId="0" borderId="8" xfId="3" applyFont="1" applyBorder="1" applyAlignment="1">
      <alignment horizontal="center" vertical="top" wrapText="1"/>
    </xf>
    <xf numFmtId="0" fontId="10" fillId="0" borderId="7" xfId="3" applyFont="1" applyBorder="1" applyAlignment="1">
      <alignment horizontal="center" vertical="top" wrapText="1"/>
    </xf>
    <xf numFmtId="0" fontId="10" fillId="0" borderId="60" xfId="3" applyFont="1" applyBorder="1" applyAlignment="1">
      <alignment horizontal="center" vertical="top" wrapText="1"/>
    </xf>
    <xf numFmtId="0" fontId="8" fillId="0" borderId="8" xfId="3" applyFont="1" applyFill="1" applyBorder="1" applyAlignment="1">
      <alignment horizontal="center" vertical="top" wrapText="1"/>
    </xf>
    <xf numFmtId="0" fontId="10" fillId="7" borderId="8" xfId="3" applyFont="1" applyFill="1" applyBorder="1" applyAlignment="1">
      <alignment horizontal="center" vertical="top" wrapText="1"/>
    </xf>
    <xf numFmtId="0" fontId="10" fillId="0" borderId="0" xfId="3" applyFont="1" applyBorder="1" applyAlignment="1">
      <alignment horizontal="center" vertical="top" wrapText="1"/>
    </xf>
    <xf numFmtId="0" fontId="10" fillId="5" borderId="21" xfId="3" applyFont="1" applyFill="1" applyBorder="1" applyAlignment="1">
      <alignment horizontal="center" vertical="top" wrapText="1"/>
    </xf>
    <xf numFmtId="0" fontId="10" fillId="5" borderId="51" xfId="3" applyFont="1" applyFill="1" applyBorder="1" applyAlignment="1">
      <alignment horizontal="center" vertical="top" wrapText="1"/>
    </xf>
    <xf numFmtId="0" fontId="10" fillId="5" borderId="52" xfId="3" applyFont="1" applyFill="1" applyBorder="1" applyAlignment="1">
      <alignment horizontal="center" vertical="top" wrapText="1"/>
    </xf>
    <xf numFmtId="0" fontId="10" fillId="0" borderId="0" xfId="3" applyFont="1" applyAlignment="1">
      <alignment vertical="top" wrapText="1"/>
    </xf>
    <xf numFmtId="0" fontId="10" fillId="0" borderId="0" xfId="3" applyFont="1" applyFill="1" applyBorder="1" applyAlignment="1">
      <alignment horizontal="center" vertical="top" wrapText="1"/>
    </xf>
    <xf numFmtId="0" fontId="10" fillId="0" borderId="19" xfId="3" applyFont="1" applyBorder="1" applyAlignment="1">
      <alignment horizontal="center" vertical="top" wrapText="1"/>
    </xf>
    <xf numFmtId="0" fontId="11" fillId="0" borderId="15" xfId="3" applyFont="1" applyBorder="1" applyAlignment="1">
      <alignment horizontal="center" vertical="top" wrapText="1"/>
    </xf>
    <xf numFmtId="0" fontId="10" fillId="0" borderId="15" xfId="3" applyFont="1" applyBorder="1" applyAlignment="1">
      <alignment horizontal="center" vertical="top" wrapText="1"/>
    </xf>
    <xf numFmtId="0" fontId="10" fillId="0" borderId="9" xfId="3" applyFont="1" applyBorder="1" applyAlignment="1">
      <alignment horizontal="center" vertical="top" wrapText="1"/>
    </xf>
    <xf numFmtId="0" fontId="10" fillId="0" borderId="10" xfId="3" applyFont="1" applyBorder="1" applyAlignment="1">
      <alignment horizontal="center" vertical="top" wrapText="1"/>
    </xf>
    <xf numFmtId="0" fontId="10" fillId="0" borderId="11" xfId="3" applyFont="1" applyBorder="1" applyAlignment="1">
      <alignment horizontal="center" vertical="top" wrapText="1"/>
    </xf>
    <xf numFmtId="0" fontId="10" fillId="0" borderId="61" xfId="3" applyFont="1" applyBorder="1" applyAlignment="1">
      <alignment horizontal="center" vertical="top" wrapText="1"/>
    </xf>
    <xf numFmtId="0" fontId="10" fillId="7" borderId="11" xfId="3" applyFont="1" applyFill="1" applyBorder="1" applyAlignment="1">
      <alignment horizontal="center" vertical="top" wrapText="1"/>
    </xf>
    <xf numFmtId="169" fontId="10" fillId="0" borderId="11" xfId="3" applyNumberFormat="1" applyFont="1" applyBorder="1" applyAlignment="1">
      <alignment horizontal="center" vertical="top" wrapText="1"/>
    </xf>
    <xf numFmtId="0" fontId="10" fillId="0" borderId="55" xfId="3" applyFont="1" applyBorder="1" applyAlignment="1">
      <alignment horizontal="center" vertical="top" wrapText="1"/>
    </xf>
    <xf numFmtId="0" fontId="10" fillId="5" borderId="55" xfId="3" applyFont="1" applyFill="1" applyBorder="1" applyAlignment="1">
      <alignment horizontal="center" vertical="top" wrapText="1"/>
    </xf>
    <xf numFmtId="0" fontId="26" fillId="0" borderId="0" xfId="3" applyFill="1" applyBorder="1" applyAlignment="1">
      <alignment wrapText="1"/>
    </xf>
    <xf numFmtId="1" fontId="26" fillId="0" borderId="3" xfId="3" applyNumberFormat="1" applyFill="1" applyBorder="1" applyAlignment="1">
      <alignment horizontal="center"/>
    </xf>
    <xf numFmtId="168" fontId="9" fillId="0" borderId="4" xfId="3" applyNumberFormat="1" applyFont="1" applyFill="1" applyBorder="1" applyAlignment="1">
      <alignment horizontal="center"/>
    </xf>
    <xf numFmtId="168" fontId="26" fillId="0" borderId="4" xfId="3" applyNumberFormat="1" applyFill="1" applyBorder="1" applyAlignment="1">
      <alignment horizontal="center" wrapText="1"/>
    </xf>
    <xf numFmtId="168" fontId="26" fillId="0" borderId="5" xfId="3" applyNumberFormat="1" applyFill="1" applyBorder="1" applyAlignment="1">
      <alignment horizontal="center"/>
    </xf>
    <xf numFmtId="168" fontId="8" fillId="0" borderId="4" xfId="3" applyNumberFormat="1" applyFont="1" applyFill="1" applyBorder="1" applyAlignment="1">
      <alignment horizontal="center"/>
    </xf>
    <xf numFmtId="168" fontId="8" fillId="0" borderId="25" xfId="3" applyNumberFormat="1" applyFont="1" applyFill="1" applyBorder="1" applyAlignment="1">
      <alignment horizontal="center"/>
    </xf>
    <xf numFmtId="168" fontId="8" fillId="0" borderId="8" xfId="3" applyNumberFormat="1" applyFont="1" applyFill="1" applyBorder="1" applyAlignment="1">
      <alignment horizontal="center"/>
    </xf>
    <xf numFmtId="168" fontId="8" fillId="0" borderId="3" xfId="3" applyNumberFormat="1" applyFont="1" applyFill="1" applyBorder="1" applyAlignment="1">
      <alignment horizontal="center"/>
    </xf>
    <xf numFmtId="2" fontId="8" fillId="0" borderId="5" xfId="3" applyNumberFormat="1" applyFont="1" applyFill="1" applyBorder="1" applyAlignment="1">
      <alignment horizontal="center"/>
    </xf>
    <xf numFmtId="2" fontId="8" fillId="0" borderId="25" xfId="3" applyNumberFormat="1" applyFont="1" applyFill="1" applyBorder="1" applyAlignment="1">
      <alignment horizontal="center"/>
    </xf>
    <xf numFmtId="169" fontId="9" fillId="0" borderId="8" xfId="3" applyNumberFormat="1" applyFont="1" applyFill="1" applyBorder="1" applyAlignment="1">
      <alignment horizontal="center"/>
    </xf>
    <xf numFmtId="1" fontId="26" fillId="0" borderId="4" xfId="3" applyNumberFormat="1" applyFill="1" applyBorder="1" applyAlignment="1">
      <alignment horizontal="center"/>
    </xf>
    <xf numFmtId="1" fontId="26" fillId="0" borderId="25" xfId="3" applyNumberFormat="1" applyFill="1" applyBorder="1" applyAlignment="1">
      <alignment horizontal="center"/>
    </xf>
    <xf numFmtId="1" fontId="16" fillId="5" borderId="60" xfId="3" applyNumberFormat="1" applyFont="1" applyFill="1" applyBorder="1" applyAlignment="1">
      <alignment horizontal="center"/>
    </xf>
    <xf numFmtId="1" fontId="16" fillId="5" borderId="8" xfId="3" applyNumberFormat="1" applyFont="1" applyFill="1" applyBorder="1" applyAlignment="1">
      <alignment horizontal="center"/>
    </xf>
    <xf numFmtId="0" fontId="26" fillId="0" borderId="0" xfId="3" applyFill="1"/>
    <xf numFmtId="1" fontId="26" fillId="0" borderId="18" xfId="3" applyNumberFormat="1" applyFill="1" applyBorder="1" applyAlignment="1">
      <alignment horizontal="center"/>
    </xf>
    <xf numFmtId="168" fontId="9" fillId="0" borderId="12" xfId="3" applyNumberFormat="1" applyFont="1" applyFill="1" applyBorder="1" applyAlignment="1">
      <alignment horizontal="center"/>
    </xf>
    <xf numFmtId="168" fontId="26" fillId="0" borderId="12" xfId="3" applyNumberFormat="1" applyFill="1" applyBorder="1" applyAlignment="1">
      <alignment horizontal="center" wrapText="1"/>
    </xf>
    <xf numFmtId="168" fontId="26" fillId="0" borderId="6" xfId="3" applyNumberFormat="1" applyFill="1" applyBorder="1" applyAlignment="1">
      <alignment horizontal="center"/>
    </xf>
    <xf numFmtId="168" fontId="8" fillId="0" borderId="12" xfId="3" applyNumberFormat="1" applyFont="1" applyFill="1" applyBorder="1" applyAlignment="1">
      <alignment horizontal="center"/>
    </xf>
    <xf numFmtId="168" fontId="8" fillId="0" borderId="13" xfId="3" applyNumberFormat="1" applyFont="1" applyFill="1" applyBorder="1" applyAlignment="1">
      <alignment horizontal="center"/>
    </xf>
    <xf numFmtId="168" fontId="8" fillId="0" borderId="7" xfId="3" applyNumberFormat="1" applyFont="1" applyFill="1" applyBorder="1" applyAlignment="1">
      <alignment horizontal="center"/>
    </xf>
    <xf numFmtId="168" fontId="8" fillId="0" borderId="29" xfId="3" applyNumberFormat="1" applyFont="1" applyFill="1" applyBorder="1" applyAlignment="1">
      <alignment horizontal="center"/>
    </xf>
    <xf numFmtId="168" fontId="8" fillId="0" borderId="20" xfId="3" applyNumberFormat="1" applyFont="1" applyFill="1" applyBorder="1" applyAlignment="1">
      <alignment horizontal="center"/>
    </xf>
    <xf numFmtId="2" fontId="8" fillId="0" borderId="6" xfId="3" applyNumberFormat="1" applyFont="1" applyFill="1" applyBorder="1" applyAlignment="1">
      <alignment horizontal="center"/>
    </xf>
    <xf numFmtId="2" fontId="8" fillId="0" borderId="7" xfId="3" applyNumberFormat="1" applyFont="1" applyFill="1" applyBorder="1" applyAlignment="1">
      <alignment horizontal="center"/>
    </xf>
    <xf numFmtId="169" fontId="9" fillId="0" borderId="29" xfId="3" applyNumberFormat="1" applyFont="1" applyFill="1" applyBorder="1" applyAlignment="1">
      <alignment horizontal="center"/>
    </xf>
    <xf numFmtId="1" fontId="26" fillId="0" borderId="12" xfId="3" applyNumberFormat="1" applyFill="1" applyBorder="1" applyAlignment="1">
      <alignment horizontal="center"/>
    </xf>
    <xf numFmtId="1" fontId="26" fillId="0" borderId="47" xfId="3" applyNumberFormat="1" applyFill="1" applyBorder="1" applyAlignment="1">
      <alignment horizontal="center"/>
    </xf>
    <xf numFmtId="1" fontId="16" fillId="5" borderId="62" xfId="3" applyNumberFormat="1" applyFont="1" applyFill="1" applyBorder="1" applyAlignment="1">
      <alignment horizontal="center"/>
    </xf>
    <xf numFmtId="1" fontId="16" fillId="5" borderId="59" xfId="3" applyNumberFormat="1" applyFont="1" applyFill="1" applyBorder="1" applyAlignment="1">
      <alignment horizontal="center"/>
    </xf>
    <xf numFmtId="0" fontId="26" fillId="0" borderId="18" xfId="3" applyFill="1" applyBorder="1" applyAlignment="1">
      <alignment horizontal="center"/>
    </xf>
    <xf numFmtId="0" fontId="26" fillId="0" borderId="12" xfId="3" applyFill="1" applyBorder="1" applyAlignment="1">
      <alignment horizontal="center"/>
    </xf>
    <xf numFmtId="1" fontId="26" fillId="0" borderId="19" xfId="3" applyNumberFormat="1" applyFill="1" applyBorder="1" applyAlignment="1">
      <alignment horizontal="center"/>
    </xf>
    <xf numFmtId="168" fontId="9" fillId="0" borderId="15" xfId="3" applyNumberFormat="1" applyFont="1" applyFill="1" applyBorder="1" applyAlignment="1">
      <alignment horizontal="center"/>
    </xf>
    <xf numFmtId="168" fontId="26" fillId="0" borderId="15" xfId="3" applyNumberFormat="1" applyFill="1" applyBorder="1" applyAlignment="1">
      <alignment horizontal="center" wrapText="1"/>
    </xf>
    <xf numFmtId="168" fontId="26" fillId="0" borderId="24" xfId="3" applyNumberFormat="1" applyFill="1" applyBorder="1" applyAlignment="1">
      <alignment horizontal="center"/>
    </xf>
    <xf numFmtId="168" fontId="8" fillId="0" borderId="15" xfId="3" applyNumberFormat="1" applyFont="1" applyFill="1" applyBorder="1" applyAlignment="1">
      <alignment horizontal="center"/>
    </xf>
    <xf numFmtId="168" fontId="8" fillId="0" borderId="16" xfId="3" applyNumberFormat="1" applyFont="1" applyFill="1" applyBorder="1" applyAlignment="1">
      <alignment horizontal="center"/>
    </xf>
    <xf numFmtId="168" fontId="8" fillId="0" borderId="26" xfId="3" applyNumberFormat="1" applyFont="1" applyFill="1" applyBorder="1" applyAlignment="1">
      <alignment horizontal="center"/>
    </xf>
    <xf numFmtId="168" fontId="8" fillId="0" borderId="30" xfId="3" applyNumberFormat="1" applyFont="1" applyFill="1" applyBorder="1" applyAlignment="1">
      <alignment horizontal="center"/>
    </xf>
    <xf numFmtId="168" fontId="8" fillId="0" borderId="28" xfId="3" applyNumberFormat="1" applyFont="1" applyFill="1" applyBorder="1" applyAlignment="1">
      <alignment horizontal="center"/>
    </xf>
    <xf numFmtId="2" fontId="8" fillId="0" borderId="24" xfId="3" applyNumberFormat="1" applyFont="1" applyFill="1" applyBorder="1" applyAlignment="1">
      <alignment horizontal="center"/>
    </xf>
    <xf numFmtId="169" fontId="9" fillId="0" borderId="30" xfId="3" applyNumberFormat="1" applyFont="1" applyFill="1" applyBorder="1" applyAlignment="1">
      <alignment horizontal="center"/>
    </xf>
    <xf numFmtId="0" fontId="26" fillId="0" borderId="19" xfId="3" applyFill="1" applyBorder="1" applyAlignment="1">
      <alignment horizontal="center"/>
    </xf>
    <xf numFmtId="0" fontId="26" fillId="0" borderId="15" xfId="3" applyFill="1" applyBorder="1" applyAlignment="1">
      <alignment horizontal="center"/>
    </xf>
    <xf numFmtId="1" fontId="16" fillId="5" borderId="61" xfId="3" applyNumberFormat="1" applyFont="1" applyFill="1" applyBorder="1" applyAlignment="1">
      <alignment horizontal="center"/>
    </xf>
    <xf numFmtId="1" fontId="16" fillId="5" borderId="11" xfId="3" applyNumberFormat="1" applyFont="1" applyFill="1" applyBorder="1" applyAlignment="1">
      <alignment horizontal="center"/>
    </xf>
    <xf numFmtId="0" fontId="26" fillId="0" borderId="0" xfId="3" applyAlignment="1">
      <alignment horizontal="center"/>
    </xf>
    <xf numFmtId="0" fontId="10" fillId="0" borderId="25" xfId="3" applyFont="1" applyBorder="1" applyAlignment="1">
      <alignment vertical="top" wrapText="1"/>
    </xf>
    <xf numFmtId="0" fontId="10" fillId="0" borderId="3" xfId="3" applyFont="1" applyBorder="1" applyAlignment="1">
      <alignment vertical="top" wrapText="1"/>
    </xf>
    <xf numFmtId="1" fontId="16" fillId="5" borderId="63" xfId="3" applyNumberFormat="1" applyFont="1" applyFill="1" applyBorder="1" applyAlignment="1">
      <alignment horizontal="center"/>
    </xf>
    <xf numFmtId="1" fontId="16" fillId="5" borderId="64" xfId="3" applyNumberFormat="1" applyFont="1" applyFill="1" applyBorder="1" applyAlignment="1">
      <alignment horizontal="center"/>
    </xf>
    <xf numFmtId="1" fontId="26" fillId="0" borderId="39" xfId="3" applyNumberFormat="1" applyFill="1" applyBorder="1" applyAlignment="1">
      <alignment horizontal="center"/>
    </xf>
    <xf numFmtId="1" fontId="26" fillId="0" borderId="41" xfId="3" applyNumberFormat="1" applyFill="1" applyBorder="1" applyAlignment="1">
      <alignment horizontal="center"/>
    </xf>
    <xf numFmtId="1" fontId="26" fillId="0" borderId="65" xfId="3" applyNumberFormat="1" applyFill="1" applyBorder="1" applyAlignment="1">
      <alignment horizontal="center"/>
    </xf>
    <xf numFmtId="1" fontId="26" fillId="0" borderId="5" xfId="3" applyNumberFormat="1" applyFill="1" applyBorder="1" applyAlignment="1">
      <alignment horizontal="center"/>
    </xf>
    <xf numFmtId="1" fontId="26" fillId="0" borderId="66" xfId="3" applyNumberFormat="1" applyFill="1" applyBorder="1" applyAlignment="1">
      <alignment horizontal="center"/>
    </xf>
    <xf numFmtId="0" fontId="26" fillId="0" borderId="66" xfId="3" applyFill="1" applyBorder="1" applyAlignment="1">
      <alignment horizontal="center"/>
    </xf>
    <xf numFmtId="0" fontId="26" fillId="0" borderId="9" xfId="3" applyFill="1" applyBorder="1" applyAlignment="1">
      <alignment horizontal="center"/>
    </xf>
    <xf numFmtId="169" fontId="9" fillId="0" borderId="67" xfId="3" applyNumberFormat="1" applyFont="1" applyFill="1" applyBorder="1" applyAlignment="1">
      <alignment horizontal="center"/>
    </xf>
    <xf numFmtId="2" fontId="8" fillId="0" borderId="68" xfId="3" applyNumberFormat="1" applyFont="1" applyFill="1" applyBorder="1" applyAlignment="1">
      <alignment horizontal="center"/>
    </xf>
    <xf numFmtId="2" fontId="8" fillId="0" borderId="8" xfId="3" applyNumberFormat="1" applyFont="1" applyFill="1" applyBorder="1" applyAlignment="1">
      <alignment horizontal="center"/>
    </xf>
    <xf numFmtId="2" fontId="8" fillId="0" borderId="29" xfId="3" applyNumberFormat="1" applyFont="1" applyFill="1" applyBorder="1" applyAlignment="1">
      <alignment horizontal="center"/>
    </xf>
    <xf numFmtId="2" fontId="8" fillId="0" borderId="30" xfId="3" applyNumberFormat="1" applyFont="1" applyFill="1" applyBorder="1" applyAlignment="1">
      <alignment horizontal="center"/>
    </xf>
    <xf numFmtId="168" fontId="8" fillId="0" borderId="68" xfId="3" applyNumberFormat="1" applyFont="1" applyFill="1" applyBorder="1" applyAlignment="1">
      <alignment horizontal="center"/>
    </xf>
    <xf numFmtId="0" fontId="8" fillId="0" borderId="1" xfId="1" applyFont="1" applyBorder="1"/>
    <xf numFmtId="170" fontId="8" fillId="0" borderId="69" xfId="2" applyNumberFormat="1" applyFont="1" applyBorder="1" applyAlignment="1">
      <alignment horizontal="center"/>
    </xf>
    <xf numFmtId="0" fontId="22" fillId="0" borderId="20" xfId="1" applyFont="1" applyBorder="1"/>
    <xf numFmtId="170" fontId="22" fillId="0" borderId="6" xfId="2" applyNumberFormat="1" applyFont="1" applyBorder="1" applyAlignment="1">
      <alignment horizontal="center"/>
    </xf>
    <xf numFmtId="0" fontId="7" fillId="0" borderId="18" xfId="1" applyBorder="1"/>
    <xf numFmtId="170" fontId="10" fillId="0" borderId="66" xfId="2" applyNumberFormat="1" applyFont="1" applyBorder="1" applyAlignment="1">
      <alignment horizontal="center"/>
    </xf>
    <xf numFmtId="0" fontId="7" fillId="0" borderId="19" xfId="1" applyBorder="1"/>
    <xf numFmtId="170" fontId="10" fillId="0" borderId="9" xfId="2" applyNumberFormat="1" applyFont="1" applyBorder="1" applyAlignment="1">
      <alignment horizontal="center"/>
    </xf>
    <xf numFmtId="0" fontId="0" fillId="0" borderId="0" xfId="0" applyFont="1"/>
    <xf numFmtId="0" fontId="18" fillId="0" borderId="0" xfId="0" applyFont="1"/>
    <xf numFmtId="0" fontId="18" fillId="9" borderId="0" xfId="0" applyFont="1" applyFill="1"/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0" fillId="0" borderId="0" xfId="0" applyFont="1" applyFill="1" applyBorder="1"/>
    <xf numFmtId="0" fontId="18" fillId="0" borderId="12" xfId="0" applyFont="1" applyBorder="1"/>
    <xf numFmtId="0" fontId="0" fillId="0" borderId="12" xfId="0" applyFont="1" applyBorder="1" applyAlignment="1">
      <alignment horizontal="center"/>
    </xf>
    <xf numFmtId="164" fontId="0" fillId="0" borderId="12" xfId="0" applyNumberFormat="1" applyFont="1" applyBorder="1"/>
    <xf numFmtId="164" fontId="0" fillId="0" borderId="0" xfId="0" applyNumberFormat="1" applyFont="1" applyFill="1" applyBorder="1"/>
    <xf numFmtId="0" fontId="0" fillId="0" borderId="12" xfId="0" applyFont="1" applyBorder="1"/>
    <xf numFmtId="164" fontId="0" fillId="8" borderId="12" xfId="0" applyNumberFormat="1" applyFont="1" applyFill="1" applyBorder="1"/>
    <xf numFmtId="164" fontId="21" fillId="8" borderId="12" xfId="0" applyNumberFormat="1" applyFont="1" applyFill="1" applyBorder="1"/>
    <xf numFmtId="164" fontId="21" fillId="0" borderId="0" xfId="0" applyNumberFormat="1" applyFont="1" applyFill="1" applyBorder="1"/>
    <xf numFmtId="0" fontId="0" fillId="0" borderId="12" xfId="0" applyFont="1" applyBorder="1" applyAlignment="1">
      <alignment horizontal="left" indent="1"/>
    </xf>
    <xf numFmtId="164" fontId="0" fillId="0" borderId="12" xfId="0" applyNumberFormat="1" applyFont="1" applyFill="1" applyBorder="1"/>
    <xf numFmtId="0" fontId="0" fillId="0" borderId="0" xfId="0" applyFont="1" applyBorder="1"/>
    <xf numFmtId="0" fontId="18" fillId="0" borderId="0" xfId="0" applyFont="1" applyBorder="1" applyAlignment="1">
      <alignment horizontal="left"/>
    </xf>
    <xf numFmtId="0" fontId="0" fillId="0" borderId="0" xfId="0" applyFont="1" applyBorder="1" applyAlignment="1">
      <alignment vertical="top" wrapText="1"/>
    </xf>
    <xf numFmtId="0" fontId="0" fillId="0" borderId="12" xfId="0" applyFont="1" applyBorder="1" applyAlignment="1">
      <alignment horizontal="left"/>
    </xf>
    <xf numFmtId="0" fontId="0" fillId="0" borderId="12" xfId="0" applyFont="1" applyFill="1" applyBorder="1" applyAlignment="1">
      <alignment horizontal="center"/>
    </xf>
    <xf numFmtId="171" fontId="0" fillId="0" borderId="12" xfId="0" applyNumberFormat="1" applyFont="1" applyBorder="1"/>
    <xf numFmtId="171" fontId="0" fillId="0" borderId="0" xfId="0" applyNumberFormat="1" applyFont="1" applyFill="1" applyBorder="1"/>
    <xf numFmtId="172" fontId="0" fillId="8" borderId="12" xfId="0" applyNumberFormat="1" applyFont="1" applyFill="1" applyBorder="1"/>
    <xf numFmtId="172" fontId="0" fillId="0" borderId="0" xfId="0" applyNumberFormat="1" applyFont="1" applyFill="1" applyBorder="1"/>
    <xf numFmtId="0" fontId="18" fillId="0" borderId="12" xfId="0" applyFont="1" applyFill="1" applyBorder="1" applyAlignment="1">
      <alignment horizontal="left"/>
    </xf>
    <xf numFmtId="0" fontId="18" fillId="0" borderId="12" xfId="0" applyFont="1" applyBorder="1" applyAlignment="1">
      <alignment horizontal="center"/>
    </xf>
    <xf numFmtId="164" fontId="18" fillId="0" borderId="12" xfId="0" applyNumberFormat="1" applyFont="1" applyBorder="1" applyAlignment="1">
      <alignment horizontal="center"/>
    </xf>
    <xf numFmtId="164" fontId="18" fillId="0" borderId="0" xfId="0" applyNumberFormat="1" applyFont="1" applyFill="1" applyBorder="1" applyAlignment="1">
      <alignment horizontal="center"/>
    </xf>
    <xf numFmtId="164" fontId="0" fillId="0" borderId="0" xfId="0" applyNumberFormat="1" applyFont="1"/>
    <xf numFmtId="0" fontId="0" fillId="10" borderId="0" xfId="0" applyFont="1" applyFill="1"/>
    <xf numFmtId="164" fontId="0" fillId="10" borderId="0" xfId="0" applyNumberFormat="1" applyFont="1" applyFill="1"/>
    <xf numFmtId="49" fontId="31" fillId="0" borderId="0" xfId="0" applyNumberFormat="1" applyFont="1"/>
    <xf numFmtId="0" fontId="0" fillId="0" borderId="0" xfId="0" applyFont="1" applyFill="1"/>
    <xf numFmtId="0" fontId="0" fillId="0" borderId="0" xfId="0" applyFont="1" applyFill="1" applyBorder="1" applyAlignment="1"/>
    <xf numFmtId="165" fontId="33" fillId="0" borderId="0" xfId="0" applyNumberFormat="1" applyFont="1"/>
    <xf numFmtId="0" fontId="18" fillId="11" borderId="0" xfId="0" applyFont="1" applyFill="1"/>
    <xf numFmtId="0" fontId="18" fillId="0" borderId="0" xfId="0" applyFont="1" applyFill="1" applyBorder="1"/>
    <xf numFmtId="0" fontId="34" fillId="0" borderId="0" xfId="0" applyFont="1"/>
    <xf numFmtId="0" fontId="34" fillId="12" borderId="12" xfId="0" applyFont="1" applyFill="1" applyBorder="1" applyAlignment="1">
      <alignment horizontal="center"/>
    </xf>
    <xf numFmtId="0" fontId="34" fillId="10" borderId="0" xfId="0" applyFont="1" applyFill="1"/>
    <xf numFmtId="0" fontId="34" fillId="12" borderId="74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0" borderId="0" xfId="0" applyFont="1" applyFill="1" applyBorder="1"/>
    <xf numFmtId="0" fontId="34" fillId="12" borderId="12" xfId="0" applyFont="1" applyFill="1" applyBorder="1"/>
    <xf numFmtId="0" fontId="34" fillId="0" borderId="12" xfId="0" applyFont="1" applyBorder="1" applyAlignment="1">
      <alignment horizontal="center"/>
    </xf>
    <xf numFmtId="164" fontId="34" fillId="0" borderId="12" xfId="0" applyNumberFormat="1" applyFont="1" applyBorder="1"/>
    <xf numFmtId="168" fontId="34" fillId="12" borderId="12" xfId="0" applyNumberFormat="1" applyFont="1" applyFill="1" applyBorder="1"/>
    <xf numFmtId="0" fontId="34" fillId="0" borderId="0" xfId="0" applyFont="1" applyAlignment="1">
      <alignment horizontal="right"/>
    </xf>
    <xf numFmtId="164" fontId="34" fillId="0" borderId="0" xfId="0" applyNumberFormat="1" applyFont="1" applyFill="1" applyBorder="1"/>
    <xf numFmtId="168" fontId="34" fillId="0" borderId="0" xfId="0" applyNumberFormat="1" applyFont="1" applyFill="1" applyBorder="1"/>
    <xf numFmtId="0" fontId="34" fillId="0" borderId="0" xfId="0" applyFont="1" applyFill="1" applyBorder="1" applyAlignment="1">
      <alignment horizontal="right"/>
    </xf>
    <xf numFmtId="164" fontId="34" fillId="8" borderId="12" xfId="0" applyNumberFormat="1" applyFont="1" applyFill="1" applyBorder="1"/>
    <xf numFmtId="9" fontId="34" fillId="0" borderId="0" xfId="4" applyFont="1" applyAlignment="1">
      <alignment horizontal="right"/>
    </xf>
    <xf numFmtId="9" fontId="34" fillId="0" borderId="0" xfId="4" applyFont="1" applyFill="1" applyBorder="1" applyAlignment="1">
      <alignment horizontal="right"/>
    </xf>
    <xf numFmtId="164" fontId="34" fillId="0" borderId="12" xfId="0" applyNumberFormat="1" applyFont="1" applyFill="1" applyBorder="1"/>
    <xf numFmtId="164" fontId="34" fillId="0" borderId="0" xfId="0" applyNumberFormat="1" applyFont="1"/>
    <xf numFmtId="9" fontId="34" fillId="0" borderId="0" xfId="0" applyNumberFormat="1" applyFont="1"/>
    <xf numFmtId="9" fontId="34" fillId="0" borderId="0" xfId="0" applyNumberFormat="1" applyFont="1" applyFill="1" applyBorder="1"/>
    <xf numFmtId="0" fontId="34" fillId="0" borderId="12" xfId="0" applyNumberFormat="1" applyFont="1" applyFill="1" applyBorder="1"/>
    <xf numFmtId="164" fontId="35" fillId="0" borderId="0" xfId="0" applyNumberFormat="1" applyFont="1"/>
    <xf numFmtId="164" fontId="35" fillId="0" borderId="0" xfId="0" applyNumberFormat="1" applyFont="1" applyFill="1" applyBorder="1"/>
    <xf numFmtId="0" fontId="34" fillId="0" borderId="12" xfId="0" applyFont="1" applyBorder="1"/>
    <xf numFmtId="164" fontId="34" fillId="12" borderId="12" xfId="0" applyNumberFormat="1" applyFont="1" applyFill="1" applyBorder="1"/>
    <xf numFmtId="2" fontId="34" fillId="13" borderId="12" xfId="0" applyNumberFormat="1" applyFont="1" applyFill="1" applyBorder="1"/>
    <xf numFmtId="2" fontId="34" fillId="0" borderId="0" xfId="0" applyNumberFormat="1" applyFont="1" applyFill="1" applyBorder="1"/>
    <xf numFmtId="0" fontId="18" fillId="10" borderId="0" xfId="0" applyFont="1" applyFill="1" applyBorder="1"/>
    <xf numFmtId="0" fontId="0" fillId="10" borderId="0" xfId="0" applyFont="1" applyFill="1" applyBorder="1"/>
    <xf numFmtId="0" fontId="34" fillId="12" borderId="74" xfId="0" applyFont="1" applyFill="1" applyBorder="1" applyAlignment="1"/>
    <xf numFmtId="0" fontId="34" fillId="10" borderId="0" xfId="0" applyFont="1" applyFill="1" applyBorder="1" applyAlignment="1">
      <alignment horizontal="center"/>
    </xf>
    <xf numFmtId="0" fontId="34" fillId="10" borderId="0" xfId="0" applyFont="1" applyFill="1" applyBorder="1"/>
    <xf numFmtId="1" fontId="34" fillId="0" borderId="12" xfId="0" applyNumberFormat="1" applyFont="1" applyFill="1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34" fillId="0" borderId="12" xfId="0" applyFont="1" applyFill="1" applyBorder="1"/>
    <xf numFmtId="165" fontId="17" fillId="0" borderId="12" xfId="0" applyNumberFormat="1" applyFont="1" applyBorder="1" applyAlignment="1">
      <alignment horizontal="center"/>
    </xf>
    <xf numFmtId="165" fontId="17" fillId="0" borderId="0" xfId="0" applyNumberFormat="1" applyFont="1" applyBorder="1" applyAlignment="1">
      <alignment horizontal="center"/>
    </xf>
    <xf numFmtId="165" fontId="0" fillId="0" borderId="0" xfId="0" applyNumberFormat="1" applyFont="1" applyBorder="1"/>
    <xf numFmtId="165" fontId="0" fillId="0" borderId="12" xfId="0" applyNumberFormat="1" applyFont="1" applyBorder="1"/>
    <xf numFmtId="0" fontId="36" fillId="14" borderId="75" xfId="0" applyFont="1" applyFill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3" fontId="36" fillId="0" borderId="75" xfId="0" applyNumberFormat="1" applyFont="1" applyBorder="1" applyAlignment="1">
      <alignment horizontal="center" vertical="center" wrapText="1"/>
    </xf>
    <xf numFmtId="3" fontId="36" fillId="0" borderId="1" xfId="0" applyNumberFormat="1" applyFont="1" applyBorder="1" applyAlignment="1">
      <alignment horizontal="center" vertical="center" wrapText="1"/>
    </xf>
    <xf numFmtId="173" fontId="0" fillId="0" borderId="0" xfId="0" applyNumberFormat="1" applyFont="1"/>
    <xf numFmtId="0" fontId="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0" fontId="32" fillId="0" borderId="76" xfId="0" applyFont="1" applyBorder="1" applyAlignment="1">
      <alignment vertical="center" wrapText="1"/>
    </xf>
    <xf numFmtId="0" fontId="37" fillId="0" borderId="0" xfId="0" applyFont="1"/>
    <xf numFmtId="0" fontId="40" fillId="0" borderId="58" xfId="0" applyFont="1" applyBorder="1" applyAlignment="1">
      <alignment vertical="center" wrapText="1"/>
    </xf>
    <xf numFmtId="0" fontId="40" fillId="0" borderId="0" xfId="0" applyFont="1" applyAlignment="1">
      <alignment vertical="top" wrapText="1"/>
    </xf>
    <xf numFmtId="0" fontId="0" fillId="0" borderId="77" xfId="0" applyBorder="1" applyAlignment="1">
      <alignment vertical="center" wrapText="1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3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 wrapText="1"/>
    </xf>
    <xf numFmtId="3" fontId="0" fillId="0" borderId="78" xfId="0" applyNumberForma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0" xfId="0" applyNumberFormat="1" applyFont="1" applyFill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 wrapText="1"/>
    </xf>
    <xf numFmtId="3" fontId="30" fillId="0" borderId="7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7" fillId="0" borderId="56" xfId="0" applyFont="1" applyBorder="1" applyAlignment="1">
      <alignment vertical="center" wrapText="1"/>
    </xf>
    <xf numFmtId="3" fontId="21" fillId="0" borderId="78" xfId="0" applyNumberFormat="1" applyFont="1" applyBorder="1" applyAlignment="1">
      <alignment horizontal="center" vertical="center" wrapText="1"/>
    </xf>
    <xf numFmtId="0" fontId="17" fillId="0" borderId="79" xfId="0" applyFont="1" applyBorder="1" applyAlignment="1">
      <alignment vertical="center" wrapText="1"/>
    </xf>
    <xf numFmtId="0" fontId="18" fillId="10" borderId="12" xfId="0" applyFont="1" applyFill="1" applyBorder="1"/>
    <xf numFmtId="0" fontId="18" fillId="10" borderId="12" xfId="0" applyFont="1" applyFill="1" applyBorder="1" applyAlignment="1">
      <alignment horizontal="center"/>
    </xf>
    <xf numFmtId="0" fontId="34" fillId="10" borderId="12" xfId="0" applyFont="1" applyFill="1" applyBorder="1"/>
    <xf numFmtId="165" fontId="0" fillId="10" borderId="12" xfId="0" applyNumberFormat="1" applyFont="1" applyFill="1" applyBorder="1"/>
    <xf numFmtId="164" fontId="0" fillId="10" borderId="12" xfId="0" applyNumberFormat="1" applyFont="1" applyFill="1" applyBorder="1"/>
    <xf numFmtId="0" fontId="32" fillId="0" borderId="76" xfId="0" applyFont="1" applyBorder="1"/>
    <xf numFmtId="0" fontId="17" fillId="0" borderId="56" xfId="0" applyFont="1" applyBorder="1"/>
    <xf numFmtId="0" fontId="0" fillId="0" borderId="57" xfId="0" applyBorder="1"/>
    <xf numFmtId="0" fontId="0" fillId="0" borderId="58" xfId="0" applyBorder="1"/>
    <xf numFmtId="0" fontId="0" fillId="0" borderId="77" xfId="0" applyBorder="1"/>
    <xf numFmtId="0" fontId="0" fillId="0" borderId="78" xfId="0" applyBorder="1"/>
    <xf numFmtId="0" fontId="0" fillId="0" borderId="79" xfId="0" applyBorder="1"/>
    <xf numFmtId="3" fontId="18" fillId="0" borderId="14" xfId="0" applyNumberFormat="1" applyFont="1" applyFill="1" applyBorder="1" applyAlignment="1">
      <alignment horizontal="center" vertical="center" wrapText="1"/>
    </xf>
    <xf numFmtId="3" fontId="18" fillId="0" borderId="75" xfId="0" applyNumberFormat="1" applyFont="1" applyFill="1" applyBorder="1" applyAlignment="1">
      <alignment horizontal="center" vertical="center" wrapText="1"/>
    </xf>
    <xf numFmtId="1" fontId="30" fillId="0" borderId="0" xfId="0" applyNumberFormat="1" applyFont="1" applyAlignment="1">
      <alignment horizontal="center"/>
    </xf>
    <xf numFmtId="3" fontId="30" fillId="0" borderId="78" xfId="0" applyNumberFormat="1" applyFont="1" applyBorder="1"/>
    <xf numFmtId="0" fontId="42" fillId="0" borderId="77" xfId="0" applyFont="1" applyBorder="1" applyAlignment="1">
      <alignment vertical="center" wrapText="1"/>
    </xf>
    <xf numFmtId="0" fontId="10" fillId="0" borderId="77" xfId="0" applyFont="1" applyBorder="1"/>
    <xf numFmtId="3" fontId="0" fillId="0" borderId="78" xfId="0" applyNumberFormat="1" applyBorder="1"/>
    <xf numFmtId="0" fontId="17" fillId="0" borderId="21" xfId="0" applyFont="1" applyBorder="1"/>
    <xf numFmtId="1" fontId="18" fillId="0" borderId="51" xfId="0" applyNumberFormat="1" applyFont="1" applyBorder="1" applyAlignment="1">
      <alignment horizontal="center"/>
    </xf>
    <xf numFmtId="3" fontId="18" fillId="0" borderId="52" xfId="0" applyNumberFormat="1" applyFont="1" applyBorder="1" applyAlignment="1">
      <alignment horizontal="center"/>
    </xf>
    <xf numFmtId="0" fontId="41" fillId="0" borderId="77" xfId="0" applyFont="1" applyBorder="1" applyAlignment="1">
      <alignment horizontal="left" vertical="center" wrapText="1"/>
    </xf>
    <xf numFmtId="3" fontId="30" fillId="0" borderId="0" xfId="0" applyNumberFormat="1" applyFont="1" applyFill="1" applyBorder="1" applyAlignment="1">
      <alignment horizontal="center" vertical="center" wrapText="1"/>
    </xf>
    <xf numFmtId="3" fontId="18" fillId="0" borderId="80" xfId="0" applyNumberFormat="1" applyFont="1" applyFill="1" applyBorder="1" applyAlignment="1">
      <alignment horizontal="center" vertical="center" wrapText="1"/>
    </xf>
    <xf numFmtId="3" fontId="18" fillId="0" borderId="69" xfId="0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3" fontId="0" fillId="0" borderId="66" xfId="0" applyNumberFormat="1" applyFont="1" applyFill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/>
    </xf>
    <xf numFmtId="0" fontId="8" fillId="0" borderId="1" xfId="0" applyFont="1" applyFill="1" applyBorder="1"/>
    <xf numFmtId="0" fontId="0" fillId="0" borderId="66" xfId="0" applyFont="1" applyBorder="1" applyAlignment="1">
      <alignment horizontal="center"/>
    </xf>
    <xf numFmtId="0" fontId="18" fillId="0" borderId="12" xfId="0" applyFont="1" applyBorder="1" applyAlignment="1">
      <alignment horizontal="left"/>
    </xf>
    <xf numFmtId="0" fontId="30" fillId="0" borderId="12" xfId="0" applyFont="1" applyBorder="1" applyAlignment="1">
      <alignment horizontal="center"/>
    </xf>
    <xf numFmtId="0" fontId="0" fillId="0" borderId="18" xfId="0" applyBorder="1"/>
    <xf numFmtId="0" fontId="0" fillId="0" borderId="66" xfId="0" applyBorder="1"/>
    <xf numFmtId="0" fontId="0" fillId="0" borderId="15" xfId="0" applyBorder="1"/>
    <xf numFmtId="0" fontId="0" fillId="0" borderId="9" xfId="0" applyBorder="1"/>
    <xf numFmtId="0" fontId="8" fillId="0" borderId="1" xfId="5" applyFont="1" applyBorder="1" applyAlignment="1">
      <alignment vertical="center"/>
    </xf>
    <xf numFmtId="0" fontId="0" fillId="0" borderId="39" xfId="0" applyBorder="1"/>
    <xf numFmtId="0" fontId="8" fillId="0" borderId="82" xfId="5" applyFont="1" applyFill="1" applyBorder="1" applyAlignment="1">
      <alignment vertical="center"/>
    </xf>
    <xf numFmtId="164" fontId="44" fillId="10" borderId="12" xfId="0" applyNumberFormat="1" applyFont="1" applyFill="1" applyBorder="1"/>
    <xf numFmtId="0" fontId="44" fillId="10" borderId="12" xfId="0" applyFont="1" applyFill="1" applyBorder="1" applyAlignment="1">
      <alignment horizontal="center"/>
    </xf>
    <xf numFmtId="0" fontId="27" fillId="0" borderId="12" xfId="0" applyFont="1" applyBorder="1"/>
    <xf numFmtId="0" fontId="27" fillId="0" borderId="12" xfId="0" applyFont="1" applyBorder="1" applyAlignment="1">
      <alignment horizontal="center"/>
    </xf>
    <xf numFmtId="164" fontId="27" fillId="0" borderId="12" xfId="0" applyNumberFormat="1" applyFont="1" applyFill="1" applyBorder="1"/>
    <xf numFmtId="164" fontId="45" fillId="0" borderId="12" xfId="0" applyNumberFormat="1" applyFont="1" applyFill="1" applyBorder="1"/>
    <xf numFmtId="0" fontId="27" fillId="0" borderId="12" xfId="0" applyFont="1" applyBorder="1" applyAlignment="1">
      <alignment horizontal="left"/>
    </xf>
    <xf numFmtId="0" fontId="27" fillId="0" borderId="12" xfId="0" applyFont="1" applyFill="1" applyBorder="1" applyAlignment="1">
      <alignment horizontal="center"/>
    </xf>
    <xf numFmtId="0" fontId="27" fillId="10" borderId="12" xfId="0" applyFont="1" applyFill="1" applyBorder="1"/>
    <xf numFmtId="0" fontId="28" fillId="0" borderId="12" xfId="0" applyFont="1" applyBorder="1"/>
    <xf numFmtId="0" fontId="28" fillId="0" borderId="12" xfId="0" applyFont="1" applyBorder="1" applyAlignment="1">
      <alignment horizontal="center"/>
    </xf>
    <xf numFmtId="164" fontId="28" fillId="0" borderId="12" xfId="0" applyNumberFormat="1" applyFont="1" applyFill="1" applyBorder="1"/>
    <xf numFmtId="0" fontId="28" fillId="0" borderId="0" xfId="0" applyFont="1"/>
    <xf numFmtId="0" fontId="28" fillId="0" borderId="0" xfId="0" applyFont="1" applyFill="1"/>
    <xf numFmtId="0" fontId="27" fillId="10" borderId="12" xfId="0" applyFont="1" applyFill="1" applyBorder="1" applyAlignment="1">
      <alignment horizontal="left"/>
    </xf>
    <xf numFmtId="0" fontId="27" fillId="10" borderId="12" xfId="0" applyFont="1" applyFill="1" applyBorder="1" applyAlignment="1">
      <alignment horizontal="center"/>
    </xf>
    <xf numFmtId="164" fontId="27" fillId="10" borderId="12" xfId="0" applyNumberFormat="1" applyFont="1" applyFill="1" applyBorder="1" applyAlignment="1">
      <alignment horizontal="center"/>
    </xf>
    <xf numFmtId="0" fontId="28" fillId="0" borderId="12" xfId="0" applyFont="1" applyBorder="1" applyAlignment="1">
      <alignment horizontal="left" indent="1"/>
    </xf>
    <xf numFmtId="0" fontId="28" fillId="0" borderId="12" xfId="0" applyFont="1" applyFill="1" applyBorder="1" applyAlignment="1">
      <alignment horizontal="center"/>
    </xf>
    <xf numFmtId="171" fontId="28" fillId="0" borderId="12" xfId="0" applyNumberFormat="1" applyFont="1" applyFill="1" applyBorder="1"/>
    <xf numFmtId="172" fontId="28" fillId="0" borderId="12" xfId="0" applyNumberFormat="1" applyFont="1" applyFill="1" applyBorder="1"/>
    <xf numFmtId="0" fontId="44" fillId="0" borderId="12" xfId="0" applyFont="1" applyBorder="1" applyAlignment="1">
      <alignment horizontal="center"/>
    </xf>
    <xf numFmtId="0" fontId="0" fillId="0" borderId="0" xfId="0" quotePrefix="1" applyBorder="1" applyAlignment="1">
      <alignment vertical="top" wrapText="1"/>
    </xf>
    <xf numFmtId="0" fontId="48" fillId="0" borderId="0" xfId="0" applyFont="1" applyFill="1" applyAlignment="1">
      <alignment horizontal="center"/>
    </xf>
    <xf numFmtId="0" fontId="50" fillId="0" borderId="0" xfId="0" applyFont="1" applyFill="1"/>
    <xf numFmtId="0" fontId="50" fillId="0" borderId="0" xfId="0" applyFont="1"/>
    <xf numFmtId="0" fontId="48" fillId="0" borderId="3" xfId="0" applyFont="1" applyFill="1" applyBorder="1" applyAlignment="1">
      <alignment horizontal="center" vertical="top" wrapText="1"/>
    </xf>
    <xf numFmtId="0" fontId="48" fillId="0" borderId="36" xfId="0" applyFont="1" applyFill="1" applyBorder="1" applyAlignment="1">
      <alignment horizontal="center" vertical="top" wrapText="1"/>
    </xf>
    <xf numFmtId="0" fontId="48" fillId="0" borderId="37" xfId="0" applyFont="1" applyFill="1" applyBorder="1" applyAlignment="1">
      <alignment horizontal="center" vertical="top" wrapText="1"/>
    </xf>
    <xf numFmtId="0" fontId="48" fillId="0" borderId="4" xfId="0" applyFont="1" applyFill="1" applyBorder="1" applyAlignment="1">
      <alignment horizontal="center" vertical="top" wrapText="1"/>
    </xf>
    <xf numFmtId="0" fontId="48" fillId="0" borderId="38" xfId="0" applyFont="1" applyFill="1" applyBorder="1" applyAlignment="1">
      <alignment horizontal="center" vertical="top" wrapText="1"/>
    </xf>
    <xf numFmtId="0" fontId="50" fillId="0" borderId="0" xfId="0" applyFont="1" applyFill="1" applyAlignment="1">
      <alignment horizontal="center" vertical="top" wrapText="1"/>
    </xf>
    <xf numFmtId="0" fontId="48" fillId="0" borderId="39" xfId="0" applyFont="1" applyFill="1" applyBorder="1" applyAlignment="1">
      <alignment horizontal="center" vertical="top" wrapText="1"/>
    </xf>
    <xf numFmtId="0" fontId="48" fillId="0" borderId="40" xfId="0" applyFont="1" applyFill="1" applyBorder="1" applyAlignment="1">
      <alignment horizontal="center" vertical="top" wrapText="1"/>
    </xf>
    <xf numFmtId="0" fontId="48" fillId="0" borderId="41" xfId="0" applyFont="1" applyFill="1" applyBorder="1" applyAlignment="1">
      <alignment horizontal="center" vertical="top" wrapText="1"/>
    </xf>
    <xf numFmtId="0" fontId="48" fillId="0" borderId="42" xfId="0" applyFont="1" applyFill="1" applyBorder="1" applyAlignment="1">
      <alignment horizontal="center" vertical="top" wrapText="1"/>
    </xf>
    <xf numFmtId="0" fontId="48" fillId="0" borderId="43" xfId="0" applyFont="1" applyFill="1" applyBorder="1" applyAlignment="1">
      <alignment horizontal="center" vertical="center"/>
    </xf>
    <xf numFmtId="0" fontId="48" fillId="0" borderId="44" xfId="0" applyFont="1" applyFill="1" applyBorder="1" applyAlignment="1">
      <alignment horizontal="left" vertical="center" wrapText="1"/>
    </xf>
    <xf numFmtId="2" fontId="48" fillId="0" borderId="44" xfId="0" applyNumberFormat="1" applyFont="1" applyFill="1" applyBorder="1" applyAlignment="1">
      <alignment horizontal="center" vertical="center"/>
    </xf>
    <xf numFmtId="2" fontId="50" fillId="4" borderId="44" xfId="0" applyNumberFormat="1" applyFont="1" applyFill="1" applyBorder="1" applyAlignment="1">
      <alignment horizontal="center" vertical="center"/>
    </xf>
    <xf numFmtId="2" fontId="50" fillId="0" borderId="44" xfId="0" applyNumberFormat="1" applyFont="1" applyFill="1" applyBorder="1" applyAlignment="1">
      <alignment horizontal="center" vertical="center"/>
    </xf>
    <xf numFmtId="2" fontId="48" fillId="0" borderId="45" xfId="0" applyNumberFormat="1" applyFont="1" applyFill="1" applyBorder="1" applyAlignment="1">
      <alignment horizontal="center" vertical="center"/>
    </xf>
    <xf numFmtId="1" fontId="49" fillId="3" borderId="46" xfId="0" applyNumberFormat="1" applyFont="1" applyFill="1" applyBorder="1" applyAlignment="1">
      <alignment horizontal="center" vertical="center"/>
    </xf>
    <xf numFmtId="0" fontId="48" fillId="0" borderId="18" xfId="0" applyFont="1" applyFill="1" applyBorder="1" applyAlignment="1">
      <alignment horizontal="center" vertical="center"/>
    </xf>
    <xf numFmtId="0" fontId="48" fillId="0" borderId="12" xfId="0" applyFont="1" applyFill="1" applyBorder="1" applyAlignment="1">
      <alignment horizontal="left" vertical="center" wrapText="1"/>
    </xf>
    <xf numFmtId="2" fontId="48" fillId="0" borderId="12" xfId="0" applyNumberFormat="1" applyFont="1" applyFill="1" applyBorder="1" applyAlignment="1">
      <alignment horizontal="center" vertical="center"/>
    </xf>
    <xf numFmtId="2" fontId="50" fillId="4" borderId="12" xfId="0" applyNumberFormat="1" applyFont="1" applyFill="1" applyBorder="1" applyAlignment="1">
      <alignment horizontal="center" vertical="center"/>
    </xf>
    <xf numFmtId="2" fontId="50" fillId="0" borderId="12" xfId="0" applyNumberFormat="1" applyFont="1" applyFill="1" applyBorder="1" applyAlignment="1">
      <alignment horizontal="center" vertical="center"/>
    </xf>
    <xf numFmtId="2" fontId="48" fillId="0" borderId="47" xfId="0" applyNumberFormat="1" applyFont="1" applyFill="1" applyBorder="1" applyAlignment="1">
      <alignment horizontal="center" vertical="center"/>
    </xf>
    <xf numFmtId="0" fontId="48" fillId="0" borderId="48" xfId="0" applyFont="1" applyFill="1" applyBorder="1" applyAlignment="1">
      <alignment horizontal="center" vertical="center"/>
    </xf>
    <xf numFmtId="0" fontId="48" fillId="0" borderId="49" xfId="0" applyFont="1" applyFill="1" applyBorder="1" applyAlignment="1">
      <alignment horizontal="left" vertical="center" wrapText="1"/>
    </xf>
    <xf numFmtId="2" fontId="48" fillId="0" borderId="49" xfId="0" applyNumberFormat="1" applyFont="1" applyFill="1" applyBorder="1" applyAlignment="1">
      <alignment horizontal="center" vertical="center"/>
    </xf>
    <xf numFmtId="2" fontId="50" fillId="4" borderId="49" xfId="0" applyNumberFormat="1" applyFont="1" applyFill="1" applyBorder="1" applyAlignment="1">
      <alignment horizontal="center" vertical="center"/>
    </xf>
    <xf numFmtId="2" fontId="50" fillId="0" borderId="49" xfId="0" applyNumberFormat="1" applyFont="1" applyFill="1" applyBorder="1" applyAlignment="1">
      <alignment horizontal="center" vertical="center"/>
    </xf>
    <xf numFmtId="2" fontId="48" fillId="0" borderId="50" xfId="0" applyNumberFormat="1" applyFont="1" applyFill="1" applyBorder="1" applyAlignment="1">
      <alignment horizontal="center" vertical="center"/>
    </xf>
    <xf numFmtId="0" fontId="48" fillId="0" borderId="19" xfId="0" applyFont="1" applyFill="1" applyBorder="1" applyAlignment="1">
      <alignment horizontal="center" vertical="center"/>
    </xf>
    <xf numFmtId="0" fontId="48" fillId="0" borderId="15" xfId="0" applyFont="1" applyFill="1" applyBorder="1" applyAlignment="1">
      <alignment horizontal="left" vertical="center" wrapText="1"/>
    </xf>
    <xf numFmtId="2" fontId="48" fillId="0" borderId="15" xfId="0" applyNumberFormat="1" applyFont="1" applyFill="1" applyBorder="1" applyAlignment="1">
      <alignment horizontal="center" vertical="center"/>
    </xf>
    <xf numFmtId="2" fontId="50" fillId="4" borderId="15" xfId="0" applyNumberFormat="1" applyFont="1" applyFill="1" applyBorder="1" applyAlignment="1">
      <alignment horizontal="center" vertical="center"/>
    </xf>
    <xf numFmtId="2" fontId="50" fillId="0" borderId="15" xfId="0" applyNumberFormat="1" applyFont="1" applyFill="1" applyBorder="1" applyAlignment="1">
      <alignment horizontal="center" vertical="center"/>
    </xf>
    <xf numFmtId="2" fontId="48" fillId="0" borderId="10" xfId="0" applyNumberFormat="1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/>
    </xf>
    <xf numFmtId="0" fontId="0" fillId="0" borderId="78" xfId="0" applyBorder="1" applyAlignment="1">
      <alignment horizontal="left" vertical="center" wrapText="1"/>
    </xf>
    <xf numFmtId="3" fontId="0" fillId="0" borderId="4" xfId="0" applyNumberFormat="1" applyFont="1" applyFill="1" applyBorder="1" applyAlignment="1">
      <alignment horizontal="center" vertical="center" wrapText="1"/>
    </xf>
    <xf numFmtId="3" fontId="0" fillId="0" borderId="12" xfId="0" applyNumberFormat="1" applyFont="1" applyFill="1" applyBorder="1" applyAlignment="1">
      <alignment horizontal="center" vertical="center" wrapText="1"/>
    </xf>
    <xf numFmtId="0" fontId="23" fillId="0" borderId="77" xfId="0" applyFont="1" applyBorder="1" applyAlignment="1">
      <alignment vertical="center" wrapText="1"/>
    </xf>
    <xf numFmtId="0" fontId="21" fillId="0" borderId="77" xfId="0" applyFont="1" applyBorder="1" applyAlignment="1">
      <alignment vertical="center" wrapText="1"/>
    </xf>
    <xf numFmtId="0" fontId="30" fillId="0" borderId="14" xfId="0" applyFont="1" applyBorder="1" applyAlignment="1">
      <alignment horizontal="center" vertical="center"/>
    </xf>
    <xf numFmtId="3" fontId="30" fillId="0" borderId="14" xfId="0" applyNumberFormat="1" applyFont="1" applyBorder="1" applyAlignment="1">
      <alignment horizontal="center" vertical="center"/>
    </xf>
    <xf numFmtId="3" fontId="30" fillId="0" borderId="14" xfId="0" applyNumberFormat="1" applyFont="1" applyFill="1" applyBorder="1" applyAlignment="1">
      <alignment horizontal="center" vertical="center"/>
    </xf>
    <xf numFmtId="3" fontId="30" fillId="0" borderId="14" xfId="0" applyNumberFormat="1" applyFont="1" applyBorder="1" applyAlignment="1">
      <alignment horizontal="center" vertical="center" wrapText="1"/>
    </xf>
    <xf numFmtId="3" fontId="30" fillId="0" borderId="75" xfId="0" applyNumberFormat="1" applyFont="1" applyBorder="1" applyAlignment="1">
      <alignment horizontal="center" vertical="center" wrapText="1"/>
    </xf>
    <xf numFmtId="3" fontId="18" fillId="0" borderId="57" xfId="0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horizontal="center" vertical="center" wrapText="1"/>
    </xf>
    <xf numFmtId="3" fontId="51" fillId="0" borderId="78" xfId="0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center" vertical="center"/>
    </xf>
    <xf numFmtId="2" fontId="9" fillId="10" borderId="29" xfId="0" applyNumberFormat="1" applyFont="1" applyFill="1" applyBorder="1" applyAlignment="1">
      <alignment horizontal="center"/>
    </xf>
    <xf numFmtId="1" fontId="16" fillId="10" borderId="59" xfId="0" applyNumberFormat="1" applyFont="1" applyFill="1" applyBorder="1" applyAlignment="1">
      <alignment horizontal="center"/>
    </xf>
    <xf numFmtId="169" fontId="9" fillId="10" borderId="8" xfId="3" applyNumberFormat="1" applyFont="1" applyFill="1" applyBorder="1" applyAlignment="1">
      <alignment horizontal="center"/>
    </xf>
    <xf numFmtId="1" fontId="16" fillId="10" borderId="60" xfId="3" applyNumberFormat="1" applyFont="1" applyFill="1" applyBorder="1" applyAlignment="1">
      <alignment horizontal="center"/>
    </xf>
    <xf numFmtId="0" fontId="40" fillId="10" borderId="52" xfId="0" applyFont="1" applyFill="1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18" fillId="0" borderId="57" xfId="0" applyFont="1" applyBorder="1" applyAlignment="1">
      <alignment horizontal="center" vertical="center"/>
    </xf>
    <xf numFmtId="3" fontId="18" fillId="0" borderId="57" xfId="0" applyNumberFormat="1" applyFont="1" applyBorder="1" applyAlignment="1">
      <alignment horizontal="center" vertical="center"/>
    </xf>
    <xf numFmtId="3" fontId="18" fillId="0" borderId="57" xfId="0" applyNumberFormat="1" applyFont="1" applyBorder="1" applyAlignment="1">
      <alignment horizontal="center" vertical="center" wrapText="1"/>
    </xf>
    <xf numFmtId="3" fontId="18" fillId="0" borderId="58" xfId="0" applyNumberFormat="1" applyFont="1" applyBorder="1" applyAlignment="1">
      <alignment horizontal="center" vertical="center" wrapText="1"/>
    </xf>
    <xf numFmtId="0" fontId="23" fillId="0" borderId="77" xfId="0" applyFont="1" applyFill="1" applyBorder="1" applyAlignment="1">
      <alignment vertical="center" wrapText="1"/>
    </xf>
    <xf numFmtId="0" fontId="21" fillId="0" borderId="77" xfId="0" applyFont="1" applyBorder="1" applyAlignment="1">
      <alignment horizontal="left" vertical="center" wrapText="1"/>
    </xf>
    <xf numFmtId="0" fontId="17" fillId="0" borderId="77" xfId="0" applyFont="1" applyBorder="1" applyAlignment="1">
      <alignment vertical="center" wrapText="1"/>
    </xf>
    <xf numFmtId="169" fontId="9" fillId="10" borderId="29" xfId="3" applyNumberFormat="1" applyFont="1" applyFill="1" applyBorder="1" applyAlignment="1">
      <alignment horizontal="center"/>
    </xf>
    <xf numFmtId="1" fontId="16" fillId="10" borderId="62" xfId="3" applyNumberFormat="1" applyFont="1" applyFill="1" applyBorder="1" applyAlignment="1">
      <alignment horizontal="center"/>
    </xf>
    <xf numFmtId="3" fontId="17" fillId="10" borderId="76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170" fontId="29" fillId="0" borderId="12" xfId="2" applyNumberFormat="1" applyFont="1" applyFill="1" applyBorder="1"/>
    <xf numFmtId="0" fontId="17" fillId="0" borderId="21" xfId="0" applyFont="1" applyBorder="1" applyAlignment="1">
      <alignment vertical="center" wrapText="1"/>
    </xf>
    <xf numFmtId="3" fontId="18" fillId="0" borderId="37" xfId="0" applyNumberFormat="1" applyFont="1" applyFill="1" applyBorder="1" applyAlignment="1">
      <alignment horizontal="center" vertical="center" wrapText="1"/>
    </xf>
    <xf numFmtId="3" fontId="18" fillId="0" borderId="38" xfId="0" applyNumberFormat="1" applyFont="1" applyFill="1" applyBorder="1" applyAlignment="1">
      <alignment horizontal="center" vertical="center" wrapText="1"/>
    </xf>
    <xf numFmtId="0" fontId="8" fillId="0" borderId="28" xfId="0" applyFont="1" applyFill="1" applyBorder="1"/>
    <xf numFmtId="1" fontId="18" fillId="0" borderId="16" xfId="0" applyNumberFormat="1" applyFont="1" applyBorder="1" applyAlignment="1">
      <alignment horizontal="center"/>
    </xf>
    <xf numFmtId="1" fontId="18" fillId="0" borderId="24" xfId="0" applyNumberFormat="1" applyFont="1" applyBorder="1" applyAlignment="1">
      <alignment horizontal="center"/>
    </xf>
    <xf numFmtId="0" fontId="43" fillId="0" borderId="3" xfId="0" applyFont="1" applyBorder="1" applyAlignment="1">
      <alignment vertical="center" wrapText="1"/>
    </xf>
    <xf numFmtId="0" fontId="43" fillId="0" borderId="18" xfId="0" applyFont="1" applyBorder="1" applyAlignment="1">
      <alignment vertical="center" wrapText="1"/>
    </xf>
    <xf numFmtId="0" fontId="43" fillId="0" borderId="19" xfId="0" applyFont="1" applyBorder="1" applyAlignment="1">
      <alignment vertical="center" wrapText="1"/>
    </xf>
    <xf numFmtId="3" fontId="0" fillId="0" borderId="15" xfId="0" applyNumberFormat="1" applyFont="1" applyFill="1" applyBorder="1" applyAlignment="1">
      <alignment horizontal="center" vertical="center" wrapText="1"/>
    </xf>
    <xf numFmtId="3" fontId="0" fillId="0" borderId="9" xfId="0" applyNumberFormat="1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vertical="center"/>
    </xf>
    <xf numFmtId="1" fontId="18" fillId="0" borderId="16" xfId="0" applyNumberFormat="1" applyFont="1" applyBorder="1" applyAlignment="1">
      <alignment horizontal="center" vertical="center"/>
    </xf>
    <xf numFmtId="1" fontId="18" fillId="0" borderId="24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" fontId="0" fillId="0" borderId="4" xfId="0" applyNumberFormat="1" applyBorder="1" applyAlignment="1">
      <alignment horizontal="center"/>
    </xf>
    <xf numFmtId="0" fontId="43" fillId="0" borderId="19" xfId="0" applyFont="1" applyFill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30" fillId="0" borderId="56" xfId="0" applyFont="1" applyBorder="1" applyAlignment="1">
      <alignment vertical="center"/>
    </xf>
    <xf numFmtId="3" fontId="30" fillId="0" borderId="57" xfId="0" applyNumberFormat="1" applyFont="1" applyBorder="1" applyAlignment="1">
      <alignment horizontal="center" vertical="center"/>
    </xf>
    <xf numFmtId="3" fontId="30" fillId="0" borderId="58" xfId="0" applyNumberFormat="1" applyFont="1" applyBorder="1" applyAlignment="1">
      <alignment vertical="center"/>
    </xf>
    <xf numFmtId="0" fontId="22" fillId="0" borderId="79" xfId="0" applyFont="1" applyBorder="1" applyAlignment="1">
      <alignment vertical="center"/>
    </xf>
    <xf numFmtId="1" fontId="30" fillId="0" borderId="14" xfId="0" applyNumberFormat="1" applyFont="1" applyBorder="1" applyAlignment="1">
      <alignment horizontal="center" vertical="center"/>
    </xf>
    <xf numFmtId="3" fontId="30" fillId="0" borderId="75" xfId="0" applyNumberFormat="1" applyFont="1" applyBorder="1" applyAlignment="1">
      <alignment vertical="center"/>
    </xf>
    <xf numFmtId="0" fontId="28" fillId="0" borderId="12" xfId="0" applyFont="1" applyBorder="1" applyAlignment="1">
      <alignment horizontal="left" vertical="justify" indent="1"/>
    </xf>
    <xf numFmtId="0" fontId="28" fillId="0" borderId="12" xfId="0" applyFont="1" applyFill="1" applyBorder="1" applyAlignment="1">
      <alignment horizontal="center" vertical="center"/>
    </xf>
    <xf numFmtId="172" fontId="28" fillId="0" borderId="12" xfId="0" applyNumberFormat="1" applyFont="1" applyFill="1" applyBorder="1" applyAlignment="1">
      <alignment vertical="center"/>
    </xf>
    <xf numFmtId="0" fontId="60" fillId="16" borderId="0" xfId="7" applyFont="1" applyFill="1"/>
    <xf numFmtId="0" fontId="5" fillId="0" borderId="77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4" fontId="29" fillId="0" borderId="12" xfId="0" applyNumberFormat="1" applyFont="1" applyFill="1" applyBorder="1"/>
    <xf numFmtId="0" fontId="8" fillId="0" borderId="12" xfId="0" applyFont="1" applyBorder="1" applyAlignment="1">
      <alignment horizontal="center" vertical="center"/>
    </xf>
    <xf numFmtId="0" fontId="75" fillId="0" borderId="0" xfId="0" applyFont="1" applyAlignment="1">
      <alignment horizontal="left"/>
    </xf>
    <xf numFmtId="0" fontId="8" fillId="0" borderId="12" xfId="0" applyFont="1" applyBorder="1" applyAlignment="1">
      <alignment vertical="center"/>
    </xf>
    <xf numFmtId="0" fontId="74" fillId="0" borderId="0" xfId="0" applyFont="1" applyAlignment="1">
      <alignment horizontal="left"/>
    </xf>
    <xf numFmtId="0" fontId="74" fillId="0" borderId="0" xfId="0" applyFont="1" applyAlignment="1">
      <alignment horizontal="center"/>
    </xf>
    <xf numFmtId="0" fontId="74" fillId="0" borderId="0" xfId="0" applyFont="1"/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1" fontId="8" fillId="0" borderId="15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170" fontId="10" fillId="0" borderId="13" xfId="0" applyNumberFormat="1" applyFont="1" applyBorder="1"/>
    <xf numFmtId="2" fontId="0" fillId="0" borderId="12" xfId="0" applyNumberFormat="1" applyBorder="1" applyAlignment="1">
      <alignment horizontal="center"/>
    </xf>
    <xf numFmtId="168" fontId="10" fillId="0" borderId="12" xfId="0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165" fontId="10" fillId="0" borderId="12" xfId="0" applyNumberFormat="1" applyFont="1" applyBorder="1" applyAlignment="1">
      <alignment horizontal="center"/>
    </xf>
    <xf numFmtId="0" fontId="10" fillId="0" borderId="13" xfId="0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4" fontId="10" fillId="0" borderId="78" xfId="0" applyNumberFormat="1" applyFont="1" applyBorder="1" applyAlignment="1">
      <alignment vertical="center"/>
    </xf>
    <xf numFmtId="168" fontId="10" fillId="0" borderId="13" xfId="0" applyNumberFormat="1" applyFont="1" applyFill="1" applyBorder="1" applyAlignment="1">
      <alignment horizontal="center" vertical="center"/>
    </xf>
    <xf numFmtId="2" fontId="10" fillId="0" borderId="13" xfId="0" applyNumberFormat="1" applyFont="1" applyFill="1" applyBorder="1" applyAlignment="1">
      <alignment horizontal="center" vertical="center"/>
    </xf>
    <xf numFmtId="168" fontId="10" fillId="0" borderId="12" xfId="0" applyNumberFormat="1" applyFont="1" applyFill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/>
    </xf>
    <xf numFmtId="3" fontId="18" fillId="0" borderId="12" xfId="0" applyNumberFormat="1" applyFont="1" applyBorder="1" applyAlignment="1">
      <alignment horizontal="center"/>
    </xf>
    <xf numFmtId="0" fontId="17" fillId="0" borderId="51" xfId="0" applyFont="1" applyBorder="1" applyAlignment="1">
      <alignment horizontal="center" vertical="center"/>
    </xf>
    <xf numFmtId="3" fontId="17" fillId="0" borderId="51" xfId="0" applyNumberFormat="1" applyFont="1" applyBorder="1" applyAlignment="1">
      <alignment horizontal="center" vertical="center"/>
    </xf>
    <xf numFmtId="3" fontId="17" fillId="0" borderId="51" xfId="0" applyNumberFormat="1" applyFont="1" applyFill="1" applyBorder="1" applyAlignment="1">
      <alignment horizontal="center" vertical="center"/>
    </xf>
    <xf numFmtId="3" fontId="17" fillId="0" borderId="51" xfId="0" applyNumberFormat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30" fillId="0" borderId="77" xfId="0" applyFont="1" applyBorder="1" applyAlignment="1">
      <alignment vertical="center" wrapText="1"/>
    </xf>
    <xf numFmtId="0" fontId="26" fillId="0" borderId="0" xfId="0" applyFont="1"/>
    <xf numFmtId="165" fontId="10" fillId="0" borderId="13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9" fontId="20" fillId="0" borderId="0" xfId="16" applyNumberFormat="1" applyFont="1" applyFill="1" applyBorder="1" applyAlignment="1">
      <alignment horizontal="center" vertical="center"/>
    </xf>
    <xf numFmtId="0" fontId="10" fillId="0" borderId="0" xfId="16"/>
    <xf numFmtId="0" fontId="21" fillId="0" borderId="0" xfId="17" applyFont="1" applyFill="1"/>
    <xf numFmtId="0" fontId="21" fillId="0" borderId="0" xfId="16" applyFont="1" applyFill="1" applyBorder="1" applyAlignment="1">
      <alignment horizontal="center" vertical="center" wrapText="1"/>
    </xf>
    <xf numFmtId="2" fontId="10" fillId="0" borderId="0" xfId="16" applyNumberFormat="1" applyFont="1" applyFill="1" applyBorder="1" applyAlignment="1">
      <alignment horizontal="center" vertical="center" wrapText="1"/>
    </xf>
    <xf numFmtId="2" fontId="20" fillId="0" borderId="0" xfId="16" applyNumberFormat="1" applyFont="1" applyFill="1" applyBorder="1" applyAlignment="1">
      <alignment vertical="center" wrapText="1"/>
    </xf>
    <xf numFmtId="1" fontId="20" fillId="0" borderId="0" xfId="16" applyNumberFormat="1" applyFont="1" applyFill="1" applyBorder="1" applyAlignment="1">
      <alignment horizontal="center" vertical="center" wrapText="1"/>
    </xf>
    <xf numFmtId="0" fontId="20" fillId="0" borderId="0" xfId="16" applyFont="1" applyFill="1" applyBorder="1" applyAlignment="1">
      <alignment horizontal="left" vertical="center" wrapText="1"/>
    </xf>
    <xf numFmtId="4" fontId="20" fillId="0" borderId="0" xfId="16" applyNumberFormat="1" applyFont="1" applyFill="1" applyBorder="1" applyAlignment="1">
      <alignment horizontal="center" vertical="center" wrapText="1"/>
    </xf>
    <xf numFmtId="2" fontId="78" fillId="0" borderId="0" xfId="16" applyNumberFormat="1" applyFont="1" applyFill="1" applyBorder="1" applyAlignment="1">
      <alignment horizontal="center" vertical="center" wrapText="1"/>
    </xf>
    <xf numFmtId="1" fontId="20" fillId="0" borderId="0" xfId="16" applyNumberFormat="1" applyFont="1" applyFill="1" applyBorder="1" applyAlignment="1">
      <alignment horizontal="left" vertical="center" wrapText="1"/>
    </xf>
    <xf numFmtId="2" fontId="20" fillId="0" borderId="0" xfId="16" applyNumberFormat="1" applyFont="1" applyFill="1" applyBorder="1" applyAlignment="1">
      <alignment horizontal="left" vertical="center" wrapText="1"/>
    </xf>
    <xf numFmtId="2" fontId="20" fillId="0" borderId="0" xfId="16" applyNumberFormat="1" applyFont="1" applyFill="1" applyBorder="1" applyAlignment="1">
      <alignment horizontal="right" vertical="center" wrapText="1"/>
    </xf>
    <xf numFmtId="0" fontId="77" fillId="0" borderId="0" xfId="16" applyFont="1" applyFill="1" applyBorder="1" applyAlignment="1">
      <alignment horizontal="center" vertical="center" wrapText="1"/>
    </xf>
    <xf numFmtId="0" fontId="21" fillId="0" borderId="0" xfId="17" applyFont="1" applyFill="1" applyBorder="1"/>
    <xf numFmtId="0" fontId="77" fillId="0" borderId="0" xfId="17" applyFont="1" applyFill="1"/>
    <xf numFmtId="3" fontId="54" fillId="0" borderId="4" xfId="16" applyNumberFormat="1" applyFont="1" applyFill="1" applyBorder="1" applyAlignment="1">
      <alignment horizontal="center" vertical="center" wrapText="1"/>
    </xf>
    <xf numFmtId="3" fontId="54" fillId="0" borderId="70" xfId="16" applyNumberFormat="1" applyFont="1" applyFill="1" applyBorder="1" applyAlignment="1">
      <alignment horizontal="center" vertical="center" wrapText="1"/>
    </xf>
    <xf numFmtId="3" fontId="54" fillId="0" borderId="37" xfId="16" applyNumberFormat="1" applyFont="1" applyFill="1" applyBorder="1" applyAlignment="1">
      <alignment horizontal="center" vertical="center" wrapText="1"/>
    </xf>
    <xf numFmtId="3" fontId="54" fillId="0" borderId="38" xfId="16" applyNumberFormat="1" applyFont="1" applyFill="1" applyBorder="1" applyAlignment="1">
      <alignment horizontal="center" vertical="center" wrapText="1"/>
    </xf>
    <xf numFmtId="4" fontId="20" fillId="0" borderId="4" xfId="16" applyNumberFormat="1" applyFont="1" applyFill="1" applyBorder="1" applyAlignment="1">
      <alignment horizontal="center" vertical="center"/>
    </xf>
    <xf numFmtId="4" fontId="20" fillId="0" borderId="12" xfId="16" applyNumberFormat="1" applyFont="1" applyFill="1" applyBorder="1" applyAlignment="1">
      <alignment horizontal="center" vertical="center"/>
    </xf>
    <xf numFmtId="0" fontId="20" fillId="0" borderId="4" xfId="16" applyFont="1" applyFill="1" applyBorder="1" applyAlignment="1">
      <alignment horizontal="center"/>
    </xf>
    <xf numFmtId="0" fontId="20" fillId="0" borderId="12" xfId="16" applyFont="1" applyFill="1" applyBorder="1" applyAlignment="1">
      <alignment horizontal="center"/>
    </xf>
    <xf numFmtId="2" fontId="20" fillId="0" borderId="12" xfId="16" applyNumberFormat="1" applyFont="1" applyFill="1" applyBorder="1" applyAlignment="1">
      <alignment horizontal="center" vertical="center" wrapText="1"/>
    </xf>
    <xf numFmtId="0" fontId="20" fillId="0" borderId="12" xfId="16" applyFont="1" applyFill="1" applyBorder="1" applyAlignment="1">
      <alignment horizontal="center" vertical="center"/>
    </xf>
    <xf numFmtId="4" fontId="20" fillId="0" borderId="0" xfId="16" applyNumberFormat="1" applyFont="1" applyFill="1" applyBorder="1" applyAlignment="1">
      <alignment horizontal="center" vertical="center"/>
    </xf>
    <xf numFmtId="0" fontId="20" fillId="0" borderId="0" xfId="16" applyFont="1" applyFill="1" applyBorder="1" applyAlignment="1">
      <alignment horizontal="center"/>
    </xf>
    <xf numFmtId="0" fontId="20" fillId="0" borderId="0" xfId="16" applyFont="1" applyFill="1" applyBorder="1" applyAlignment="1">
      <alignment horizontal="center" vertical="center"/>
    </xf>
    <xf numFmtId="4" fontId="20" fillId="0" borderId="4" xfId="16" applyNumberFormat="1" applyFont="1" applyFill="1" applyBorder="1" applyAlignment="1">
      <alignment horizontal="center"/>
    </xf>
    <xf numFmtId="0" fontId="20" fillId="0" borderId="3" xfId="16" applyFont="1" applyFill="1" applyBorder="1" applyAlignment="1">
      <alignment horizontal="center"/>
    </xf>
    <xf numFmtId="0" fontId="20" fillId="0" borderId="0" xfId="16" applyFont="1" applyFill="1" applyBorder="1" applyAlignment="1">
      <alignment horizontal="left"/>
    </xf>
    <xf numFmtId="4" fontId="20" fillId="0" borderId="0" xfId="16" applyNumberFormat="1" applyFont="1" applyFill="1" applyBorder="1" applyAlignment="1">
      <alignment horizontal="center"/>
    </xf>
    <xf numFmtId="4" fontId="20" fillId="0" borderId="0" xfId="16" applyNumberFormat="1" applyFont="1" applyFill="1" applyBorder="1" applyAlignment="1"/>
    <xf numFmtId="4" fontId="20" fillId="0" borderId="0" xfId="16" applyNumberFormat="1" applyFont="1" applyFill="1" applyBorder="1" applyAlignment="1">
      <alignment horizontal="left"/>
    </xf>
    <xf numFmtId="0" fontId="20" fillId="0" borderId="0" xfId="16" applyFont="1" applyFill="1" applyBorder="1"/>
    <xf numFmtId="2" fontId="77" fillId="0" borderId="0" xfId="17" applyNumberFormat="1" applyFont="1" applyFill="1" applyBorder="1" applyAlignment="1">
      <alignment horizontal="center" vertical="center" wrapText="1"/>
    </xf>
    <xf numFmtId="4" fontId="77" fillId="0" borderId="0" xfId="16" applyNumberFormat="1" applyFont="1" applyFill="1" applyBorder="1" applyAlignment="1">
      <alignment horizontal="center"/>
    </xf>
    <xf numFmtId="4" fontId="77" fillId="0" borderId="0" xfId="17" applyNumberFormat="1" applyFont="1" applyFill="1" applyBorder="1" applyAlignment="1">
      <alignment horizontal="center" vertical="center"/>
    </xf>
    <xf numFmtId="4" fontId="77" fillId="0" borderId="0" xfId="17" applyNumberFormat="1" applyFont="1" applyFill="1" applyBorder="1" applyAlignment="1">
      <alignment horizontal="center"/>
    </xf>
    <xf numFmtId="4" fontId="77" fillId="0" borderId="0" xfId="17" applyNumberFormat="1" applyFont="1" applyFill="1" applyBorder="1" applyAlignment="1">
      <alignment vertical="center"/>
    </xf>
    <xf numFmtId="2" fontId="10" fillId="0" borderId="0" xfId="16" applyNumberFormat="1" applyFont="1" applyFill="1" applyBorder="1" applyAlignment="1">
      <alignment vertical="center" wrapText="1"/>
    </xf>
    <xf numFmtId="4" fontId="10" fillId="0" borderId="0" xfId="16" applyNumberFormat="1" applyFont="1" applyFill="1" applyBorder="1" applyAlignment="1">
      <alignment horizontal="center" vertical="center" wrapText="1"/>
    </xf>
    <xf numFmtId="2" fontId="11" fillId="0" borderId="0" xfId="16" applyNumberFormat="1" applyFont="1" applyFill="1" applyBorder="1" applyAlignment="1">
      <alignment horizontal="center" vertical="center" wrapText="1"/>
    </xf>
    <xf numFmtId="1" fontId="10" fillId="0" borderId="0" xfId="16" applyNumberFormat="1" applyFont="1" applyFill="1" applyBorder="1" applyAlignment="1">
      <alignment horizontal="left" vertical="center" wrapText="1"/>
    </xf>
    <xf numFmtId="1" fontId="10" fillId="0" borderId="0" xfId="16" applyNumberFormat="1" applyFont="1" applyFill="1" applyBorder="1" applyAlignment="1">
      <alignment horizontal="center" vertical="center" wrapText="1"/>
    </xf>
    <xf numFmtId="2" fontId="10" fillId="0" borderId="0" xfId="16" applyNumberFormat="1" applyFont="1" applyFill="1" applyBorder="1" applyAlignment="1">
      <alignment horizontal="left" vertical="center" wrapText="1"/>
    </xf>
    <xf numFmtId="2" fontId="10" fillId="0" borderId="0" xfId="16" applyNumberFormat="1" applyFont="1" applyFill="1" applyBorder="1" applyAlignment="1">
      <alignment horizontal="right" vertical="center" wrapText="1"/>
    </xf>
    <xf numFmtId="0" fontId="79" fillId="0" borderId="0" xfId="16" applyFont="1"/>
    <xf numFmtId="0" fontId="24" fillId="0" borderId="0" xfId="16" applyFont="1"/>
    <xf numFmtId="0" fontId="10" fillId="0" borderId="0" xfId="16" applyFont="1"/>
    <xf numFmtId="0" fontId="10" fillId="0" borderId="4" xfId="16" applyBorder="1" applyAlignment="1">
      <alignment wrapText="1"/>
    </xf>
    <xf numFmtId="0" fontId="19" fillId="0" borderId="4" xfId="16" applyFont="1" applyBorder="1"/>
    <xf numFmtId="0" fontId="19" fillId="0" borderId="5" xfId="16" applyFont="1" applyBorder="1"/>
    <xf numFmtId="0" fontId="10" fillId="0" borderId="15" xfId="16" applyBorder="1"/>
    <xf numFmtId="3" fontId="10" fillId="0" borderId="15" xfId="16" applyNumberFormat="1" applyBorder="1"/>
    <xf numFmtId="3" fontId="10" fillId="0" borderId="9" xfId="16" applyNumberFormat="1" applyBorder="1"/>
    <xf numFmtId="3" fontId="22" fillId="0" borderId="15" xfId="16" applyNumberFormat="1" applyFont="1" applyBorder="1"/>
    <xf numFmtId="0" fontId="8" fillId="0" borderId="80" xfId="16" applyFont="1" applyBorder="1" applyAlignment="1">
      <alignment horizontal="center"/>
    </xf>
    <xf numFmtId="0" fontId="10" fillId="0" borderId="83" xfId="16" applyBorder="1"/>
    <xf numFmtId="0" fontId="10" fillId="0" borderId="51" xfId="16" applyBorder="1"/>
    <xf numFmtId="0" fontId="10" fillId="0" borderId="52" xfId="16" applyBorder="1"/>
    <xf numFmtId="0" fontId="10" fillId="0" borderId="0" xfId="0" quotePrefix="1" applyFont="1" applyBorder="1" applyAlignment="1">
      <alignment vertical="top" wrapText="1"/>
    </xf>
    <xf numFmtId="0" fontId="0" fillId="0" borderId="3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2" fillId="10" borderId="0" xfId="0" applyFont="1" applyFill="1"/>
    <xf numFmtId="3" fontId="30" fillId="10" borderId="5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3" fontId="22" fillId="0" borderId="0" xfId="0" applyNumberFormat="1" applyFont="1"/>
    <xf numFmtId="166" fontId="28" fillId="0" borderId="12" xfId="0" applyNumberFormat="1" applyFont="1" applyFill="1" applyBorder="1" applyAlignment="1">
      <alignment horizontal="center"/>
    </xf>
    <xf numFmtId="0" fontId="0" fillId="0" borderId="0" xfId="0"/>
    <xf numFmtId="0" fontId="4" fillId="0" borderId="0" xfId="23" applyAlignment="1">
      <alignment vertical="center"/>
    </xf>
    <xf numFmtId="0" fontId="28" fillId="0" borderId="12" xfId="0" applyFont="1" applyBorder="1" applyAlignment="1">
      <alignment horizontal="center"/>
    </xf>
    <xf numFmtId="0" fontId="28" fillId="0" borderId="12" xfId="0" applyFont="1" applyBorder="1" applyAlignment="1">
      <alignment horizontal="left" indent="1"/>
    </xf>
    <xf numFmtId="0" fontId="28" fillId="0" borderId="12" xfId="0" applyFont="1" applyFill="1" applyBorder="1" applyAlignment="1">
      <alignment horizontal="center"/>
    </xf>
    <xf numFmtId="0" fontId="10" fillId="0" borderId="0" xfId="12"/>
    <xf numFmtId="3" fontId="79" fillId="0" borderId="0" xfId="12" applyNumberFormat="1" applyFont="1" applyAlignment="1">
      <alignment horizontal="right"/>
    </xf>
    <xf numFmtId="3" fontId="79" fillId="0" borderId="0" xfId="12" applyNumberFormat="1" applyFont="1" applyAlignment="1">
      <alignment horizontal="center"/>
    </xf>
    <xf numFmtId="0" fontId="8" fillId="0" borderId="0" xfId="12" applyFont="1" applyAlignment="1">
      <alignment horizontal="center" vertical="center"/>
    </xf>
    <xf numFmtId="0" fontId="8" fillId="0" borderId="0" xfId="12" applyFont="1" applyAlignment="1">
      <alignment vertical="center"/>
    </xf>
    <xf numFmtId="3" fontId="54" fillId="0" borderId="74" xfId="12" applyNumberFormat="1" applyFont="1" applyBorder="1" applyAlignment="1">
      <alignment horizontal="center" vertical="center"/>
    </xf>
    <xf numFmtId="49" fontId="54" fillId="0" borderId="12" xfId="12" applyNumberFormat="1" applyFont="1" applyBorder="1" applyAlignment="1">
      <alignment horizontal="center" vertical="center" wrapText="1"/>
    </xf>
    <xf numFmtId="0" fontId="82" fillId="0" borderId="0" xfId="12" applyFont="1" applyAlignment="1">
      <alignment horizontal="center" vertical="center"/>
    </xf>
    <xf numFmtId="0" fontId="82" fillId="0" borderId="0" xfId="12" applyFont="1" applyAlignment="1">
      <alignment vertical="center"/>
    </xf>
    <xf numFmtId="3" fontId="54" fillId="16" borderId="73" xfId="12" applyNumberFormat="1" applyFont="1" applyFill="1" applyBorder="1" applyAlignment="1">
      <alignment horizontal="left" vertical="center"/>
    </xf>
    <xf numFmtId="3" fontId="54" fillId="16" borderId="12" xfId="12" applyNumberFormat="1" applyFont="1" applyFill="1" applyBorder="1" applyAlignment="1">
      <alignment horizontal="center" vertical="center" wrapText="1"/>
    </xf>
    <xf numFmtId="4" fontId="54" fillId="16" borderId="12" xfId="12" applyNumberFormat="1" applyFont="1" applyFill="1" applyBorder="1" applyAlignment="1">
      <alignment horizontal="center" vertical="center" wrapText="1"/>
    </xf>
    <xf numFmtId="0" fontId="20" fillId="0" borderId="47" xfId="12" applyFont="1" applyBorder="1" applyAlignment="1">
      <alignment horizontal="left" vertical="center" wrapText="1"/>
    </xf>
    <xf numFmtId="4" fontId="20" fillId="0" borderId="12" xfId="13" applyNumberFormat="1" applyFont="1" applyBorder="1" applyAlignment="1">
      <alignment vertical="center"/>
    </xf>
    <xf numFmtId="0" fontId="20" fillId="0" borderId="0" xfId="12" applyFont="1" applyAlignment="1">
      <alignment vertical="center"/>
    </xf>
    <xf numFmtId="0" fontId="54" fillId="0" borderId="15" xfId="12" applyFont="1" applyBorder="1" applyAlignment="1">
      <alignment horizontal="right" vertical="center"/>
    </xf>
    <xf numFmtId="0" fontId="20" fillId="0" borderId="0" xfId="12" applyFont="1" applyAlignment="1">
      <alignment horizontal="center" vertical="center"/>
    </xf>
    <xf numFmtId="0" fontId="84" fillId="0" borderId="65" xfId="12" applyFont="1" applyBorder="1" applyAlignment="1">
      <alignment horizontal="left" vertical="center"/>
    </xf>
    <xf numFmtId="3" fontId="20" fillId="0" borderId="71" xfId="12" applyNumberFormat="1" applyFont="1" applyBorder="1" applyAlignment="1">
      <alignment horizontal="right" vertical="center"/>
    </xf>
    <xf numFmtId="0" fontId="84" fillId="0" borderId="7" xfId="12" applyFont="1" applyBorder="1" applyAlignment="1">
      <alignment horizontal="left" vertical="center"/>
    </xf>
    <xf numFmtId="0" fontId="18" fillId="0" borderId="77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2" fontId="20" fillId="0" borderId="0" xfId="16" applyNumberFormat="1" applyFont="1" applyFill="1" applyBorder="1" applyAlignment="1">
      <alignment horizontal="center" vertical="center" wrapText="1"/>
    </xf>
    <xf numFmtId="49" fontId="54" fillId="0" borderId="18" xfId="12" applyNumberFormat="1" applyFont="1" applyBorder="1" applyAlignment="1">
      <alignment horizontal="center" vertical="center" wrapText="1"/>
    </xf>
    <xf numFmtId="3" fontId="54" fillId="0" borderId="12" xfId="12" applyNumberFormat="1" applyFont="1" applyBorder="1" applyAlignment="1">
      <alignment horizontal="center" vertical="center" wrapText="1"/>
    </xf>
    <xf numFmtId="165" fontId="0" fillId="0" borderId="0" xfId="2" applyFont="1"/>
    <xf numFmtId="0" fontId="21" fillId="0" borderId="0" xfId="17" applyFont="1" applyFill="1" applyBorder="1" applyAlignment="1">
      <alignment horizontal="left"/>
    </xf>
    <xf numFmtId="4" fontId="21" fillId="0" borderId="0" xfId="17" applyNumberFormat="1" applyFont="1" applyFill="1" applyBorder="1" applyAlignment="1">
      <alignment horizontal="left"/>
    </xf>
    <xf numFmtId="0" fontId="10" fillId="0" borderId="0" xfId="16" applyFont="1" applyFill="1" applyBorder="1" applyAlignment="1">
      <alignment horizontal="left"/>
    </xf>
    <xf numFmtId="4" fontId="20" fillId="0" borderId="0" xfId="17" applyNumberFormat="1" applyFont="1" applyFill="1" applyBorder="1" applyAlignment="1">
      <alignment horizontal="left"/>
    </xf>
    <xf numFmtId="0" fontId="21" fillId="0" borderId="0" xfId="17" applyFont="1" applyFill="1" applyAlignment="1">
      <alignment horizontal="center"/>
    </xf>
    <xf numFmtId="2" fontId="21" fillId="0" borderId="0" xfId="17" applyNumberFormat="1" applyFont="1" applyFill="1" applyBorder="1" applyAlignment="1">
      <alignment vertical="center"/>
    </xf>
    <xf numFmtId="0" fontId="21" fillId="0" borderId="0" xfId="17" applyFont="1" applyFill="1" applyBorder="1" applyAlignment="1">
      <alignment horizontal="center"/>
    </xf>
    <xf numFmtId="4" fontId="21" fillId="0" borderId="0" xfId="17" applyNumberFormat="1" applyFont="1" applyFill="1" applyBorder="1" applyAlignment="1">
      <alignment horizontal="center"/>
    </xf>
    <xf numFmtId="0" fontId="21" fillId="0" borderId="0" xfId="17" applyFont="1" applyFill="1" applyBorder="1" applyAlignment="1">
      <alignment horizontal="center" vertical="center"/>
    </xf>
    <xf numFmtId="4" fontId="21" fillId="0" borderId="0" xfId="17" applyNumberFormat="1" applyFont="1" applyFill="1" applyBorder="1" applyAlignment="1"/>
    <xf numFmtId="0" fontId="10" fillId="0" borderId="0" xfId="16" applyFont="1" applyFill="1" applyBorder="1"/>
    <xf numFmtId="4" fontId="21" fillId="0" borderId="0" xfId="17" applyNumberFormat="1" applyFont="1" applyFill="1" applyBorder="1" applyAlignment="1">
      <alignment horizontal="right"/>
    </xf>
    <xf numFmtId="4" fontId="20" fillId="0" borderId="0" xfId="17" applyNumberFormat="1" applyFont="1" applyFill="1" applyBorder="1" applyAlignment="1">
      <alignment horizontal="right"/>
    </xf>
    <xf numFmtId="9" fontId="54" fillId="0" borderId="0" xfId="17" applyNumberFormat="1" applyFont="1" applyFill="1" applyBorder="1" applyAlignment="1">
      <alignment horizontal="right"/>
    </xf>
    <xf numFmtId="9" fontId="54" fillId="0" borderId="0" xfId="16" applyNumberFormat="1" applyFont="1" applyFill="1" applyBorder="1"/>
    <xf numFmtId="0" fontId="10" fillId="0" borderId="0" xfId="16" applyFont="1" applyFill="1" applyBorder="1" applyAlignment="1">
      <alignment horizontal="center" vertical="center"/>
    </xf>
    <xf numFmtId="0" fontId="20" fillId="0" borderId="0" xfId="18" applyFont="1" applyFill="1" applyBorder="1" applyAlignment="1">
      <alignment horizontal="center" vertical="center"/>
    </xf>
    <xf numFmtId="0" fontId="20" fillId="0" borderId="0" xfId="18" applyFont="1" applyFill="1" applyBorder="1" applyAlignment="1">
      <alignment horizontal="center" vertical="center" wrapText="1"/>
    </xf>
    <xf numFmtId="0" fontId="20" fillId="0" borderId="0" xfId="18" applyFont="1" applyFill="1" applyBorder="1" applyAlignment="1" applyProtection="1">
      <alignment horizontal="center" vertical="center" wrapText="1"/>
    </xf>
    <xf numFmtId="0" fontId="20" fillId="0" borderId="0" xfId="18" applyFont="1" applyFill="1" applyBorder="1" applyAlignment="1">
      <alignment horizontal="left" vertical="center" wrapText="1"/>
    </xf>
    <xf numFmtId="3" fontId="54" fillId="0" borderId="0" xfId="16" applyNumberFormat="1" applyFont="1" applyFill="1" applyBorder="1" applyAlignment="1">
      <alignment horizontal="center" vertical="center" wrapText="1"/>
    </xf>
    <xf numFmtId="0" fontId="54" fillId="0" borderId="0" xfId="18" applyFont="1" applyFill="1" applyBorder="1" applyAlignment="1">
      <alignment horizontal="center" vertical="center" wrapText="1"/>
    </xf>
    <xf numFmtId="4" fontId="77" fillId="0" borderId="0" xfId="17" applyNumberFormat="1" applyFont="1" applyFill="1" applyBorder="1" applyAlignment="1">
      <alignment horizontal="right"/>
    </xf>
    <xf numFmtId="2" fontId="20" fillId="0" borderId="0" xfId="17" applyNumberFormat="1" applyFont="1" applyFill="1" applyBorder="1" applyAlignment="1">
      <alignment vertical="center"/>
    </xf>
    <xf numFmtId="0" fontId="20" fillId="0" borderId="0" xfId="17" applyFont="1" applyFill="1" applyBorder="1" applyAlignment="1">
      <alignment horizontal="center"/>
    </xf>
    <xf numFmtId="0" fontId="20" fillId="0" borderId="0" xfId="17" applyFont="1" applyFill="1" applyBorder="1" applyAlignment="1">
      <alignment horizontal="left"/>
    </xf>
    <xf numFmtId="4" fontId="20" fillId="0" borderId="0" xfId="17" applyNumberFormat="1" applyFont="1" applyFill="1" applyBorder="1" applyAlignment="1">
      <alignment horizontal="center"/>
    </xf>
    <xf numFmtId="2" fontId="20" fillId="0" borderId="0" xfId="18" applyNumberFormat="1" applyFont="1" applyFill="1" applyBorder="1" applyAlignment="1">
      <alignment horizontal="center" vertical="center"/>
    </xf>
    <xf numFmtId="0" fontId="20" fillId="0" borderId="0" xfId="17" applyFont="1" applyFill="1" applyBorder="1"/>
    <xf numFmtId="2" fontId="20" fillId="0" borderId="0" xfId="18" applyNumberFormat="1" applyFont="1" applyFill="1" applyBorder="1" applyAlignment="1">
      <alignment horizontal="left" vertical="center"/>
    </xf>
    <xf numFmtId="4" fontId="20" fillId="0" borderId="0" xfId="17" applyNumberFormat="1" applyFont="1" applyFill="1" applyBorder="1" applyAlignment="1"/>
    <xf numFmtId="176" fontId="20" fillId="0" borderId="0" xfId="18" applyNumberFormat="1" applyFont="1" applyFill="1" applyBorder="1" applyAlignment="1">
      <alignment horizontal="center" vertical="center"/>
    </xf>
    <xf numFmtId="4" fontId="54" fillId="0" borderId="0" xfId="16" applyNumberFormat="1" applyFont="1" applyFill="1" applyBorder="1" applyAlignment="1">
      <alignment horizontal="right"/>
    </xf>
    <xf numFmtId="4" fontId="85" fillId="0" borderId="0" xfId="16" applyNumberFormat="1" applyFont="1" applyFill="1" applyBorder="1" applyAlignment="1">
      <alignment horizontal="right"/>
    </xf>
    <xf numFmtId="4" fontId="54" fillId="0" borderId="0" xfId="17" applyNumberFormat="1" applyFont="1" applyFill="1" applyBorder="1"/>
    <xf numFmtId="4" fontId="85" fillId="0" borderId="0" xfId="17" applyNumberFormat="1" applyFont="1" applyFill="1" applyBorder="1"/>
    <xf numFmtId="0" fontId="77" fillId="0" borderId="0" xfId="17" applyFont="1" applyFill="1" applyBorder="1" applyAlignment="1">
      <alignment horizontal="left" vertical="center" wrapText="1"/>
    </xf>
    <xf numFmtId="2" fontId="20" fillId="0" borderId="0" xfId="16" applyNumberFormat="1" applyFont="1" applyFill="1" applyBorder="1" applyAlignment="1">
      <alignment vertical="center"/>
    </xf>
    <xf numFmtId="0" fontId="77" fillId="0" borderId="0" xfId="16" applyFont="1" applyFill="1" applyBorder="1" applyAlignment="1">
      <alignment horizontal="left" vertical="center" wrapText="1"/>
    </xf>
    <xf numFmtId="0" fontId="77" fillId="0" borderId="0" xfId="17" applyFont="1" applyFill="1" applyBorder="1"/>
    <xf numFmtId="4" fontId="77" fillId="0" borderId="0" xfId="17" applyNumberFormat="1" applyFont="1" applyFill="1" applyBorder="1" applyAlignment="1">
      <alignment horizontal="left"/>
    </xf>
    <xf numFmtId="4" fontId="77" fillId="0" borderId="0" xfId="17" applyNumberFormat="1" applyFont="1" applyFill="1" applyBorder="1" applyAlignment="1"/>
    <xf numFmtId="2" fontId="77" fillId="0" borderId="0" xfId="17" applyNumberFormat="1" applyFont="1" applyFill="1" applyBorder="1" applyAlignment="1">
      <alignment vertical="center"/>
    </xf>
    <xf numFmtId="0" fontId="77" fillId="0" borderId="0" xfId="17" applyFont="1" applyFill="1" applyBorder="1" applyAlignment="1">
      <alignment horizontal="center"/>
    </xf>
    <xf numFmtId="0" fontId="77" fillId="0" borderId="0" xfId="17" applyFont="1" applyFill="1" applyBorder="1" applyAlignment="1">
      <alignment horizontal="left"/>
    </xf>
    <xf numFmtId="0" fontId="77" fillId="0" borderId="0" xfId="17" applyFont="1" applyFill="1" applyBorder="1" applyAlignment="1">
      <alignment horizontal="center" vertical="center"/>
    </xf>
    <xf numFmtId="0" fontId="54" fillId="0" borderId="0" xfId="16" applyFont="1" applyFill="1" applyAlignment="1">
      <alignment horizontal="center"/>
    </xf>
    <xf numFmtId="0" fontId="86" fillId="0" borderId="0" xfId="16" applyFont="1" applyFill="1" applyAlignment="1">
      <alignment horizontal="center"/>
    </xf>
    <xf numFmtId="0" fontId="86" fillId="0" borderId="0" xfId="16" applyFont="1" applyFill="1" applyAlignment="1"/>
    <xf numFmtId="0" fontId="87" fillId="0" borderId="0" xfId="16" applyFont="1" applyFill="1" applyAlignment="1"/>
    <xf numFmtId="0" fontId="20" fillId="0" borderId="0" xfId="16" applyFont="1" applyFill="1" applyBorder="1" applyAlignment="1">
      <alignment horizontal="center" vertical="center" wrapText="1"/>
    </xf>
    <xf numFmtId="0" fontId="20" fillId="0" borderId="0" xfId="17" applyFont="1" applyFill="1" applyAlignment="1">
      <alignment horizontal="center"/>
    </xf>
    <xf numFmtId="0" fontId="77" fillId="0" borderId="0" xfId="17" applyFont="1" applyFill="1" applyAlignment="1">
      <alignment horizontal="center"/>
    </xf>
    <xf numFmtId="9" fontId="54" fillId="0" borderId="21" xfId="19" applyNumberFormat="1" applyFont="1" applyFill="1" applyBorder="1" applyAlignment="1">
      <alignment horizontal="center" vertical="center"/>
    </xf>
    <xf numFmtId="9" fontId="54" fillId="0" borderId="76" xfId="16" applyNumberFormat="1" applyFont="1" applyFill="1" applyBorder="1" applyAlignment="1">
      <alignment horizontal="center" vertical="center"/>
    </xf>
    <xf numFmtId="9" fontId="54" fillId="0" borderId="52" xfId="16" applyNumberFormat="1" applyFont="1" applyFill="1" applyBorder="1" applyAlignment="1">
      <alignment horizontal="center" vertical="center"/>
    </xf>
    <xf numFmtId="2" fontId="54" fillId="0" borderId="70" xfId="16" applyNumberFormat="1" applyFont="1" applyFill="1" applyBorder="1" applyAlignment="1">
      <alignment horizontal="center" vertical="center" wrapText="1"/>
    </xf>
    <xf numFmtId="0" fontId="54" fillId="0" borderId="37" xfId="16" applyFont="1" applyFill="1" applyBorder="1" applyAlignment="1">
      <alignment horizontal="center" vertical="center" wrapText="1"/>
    </xf>
    <xf numFmtId="4" fontId="54" fillId="0" borderId="37" xfId="16" applyNumberFormat="1" applyFont="1" applyFill="1" applyBorder="1" applyAlignment="1">
      <alignment horizontal="center" vertical="center" wrapText="1"/>
    </xf>
    <xf numFmtId="2" fontId="54" fillId="0" borderId="37" xfId="16" applyNumberFormat="1" applyFont="1" applyFill="1" applyBorder="1" applyAlignment="1">
      <alignment horizontal="center" vertical="center" wrapText="1"/>
    </xf>
    <xf numFmtId="4" fontId="54" fillId="0" borderId="0" xfId="16" applyNumberFormat="1" applyFont="1" applyFill="1" applyBorder="1" applyAlignment="1">
      <alignment horizontal="right" vertical="center" wrapText="1"/>
    </xf>
    <xf numFmtId="0" fontId="10" fillId="0" borderId="0" xfId="16" applyFont="1" applyFill="1" applyBorder="1" applyAlignment="1">
      <alignment vertical="center"/>
    </xf>
    <xf numFmtId="2" fontId="54" fillId="0" borderId="1" xfId="16" applyNumberFormat="1" applyFont="1" applyFill="1" applyBorder="1" applyAlignment="1">
      <alignment horizontal="center" vertical="center" wrapText="1"/>
    </xf>
    <xf numFmtId="0" fontId="54" fillId="0" borderId="80" xfId="16" applyFont="1" applyFill="1" applyBorder="1" applyAlignment="1">
      <alignment horizontal="center" vertical="center" wrapText="1"/>
    </xf>
    <xf numFmtId="4" fontId="54" fillId="0" borderId="80" xfId="16" applyNumberFormat="1" applyFont="1" applyFill="1" applyBorder="1" applyAlignment="1">
      <alignment horizontal="center" vertical="center" wrapText="1"/>
    </xf>
    <xf numFmtId="2" fontId="54" fillId="0" borderId="80" xfId="16" applyNumberFormat="1" applyFont="1" applyFill="1" applyBorder="1" applyAlignment="1">
      <alignment horizontal="center" vertical="center" wrapText="1"/>
    </xf>
    <xf numFmtId="3" fontId="54" fillId="0" borderId="80" xfId="16" applyNumberFormat="1" applyFont="1" applyFill="1" applyBorder="1" applyAlignment="1">
      <alignment horizontal="center" vertical="center" wrapText="1"/>
    </xf>
    <xf numFmtId="4" fontId="85" fillId="0" borderId="69" xfId="17" applyNumberFormat="1" applyFont="1" applyFill="1" applyBorder="1" applyAlignment="1">
      <alignment horizontal="center"/>
    </xf>
    <xf numFmtId="3" fontId="54" fillId="0" borderId="1" xfId="16" applyNumberFormat="1" applyFont="1" applyFill="1" applyBorder="1" applyAlignment="1">
      <alignment horizontal="center" vertical="center" wrapText="1"/>
    </xf>
    <xf numFmtId="3" fontId="54" fillId="0" borderId="69" xfId="16" applyNumberFormat="1" applyFont="1" applyFill="1" applyBorder="1" applyAlignment="1">
      <alignment horizontal="center" vertical="center" wrapText="1"/>
    </xf>
    <xf numFmtId="0" fontId="20" fillId="0" borderId="0" xfId="16" applyFont="1" applyFill="1" applyBorder="1" applyAlignment="1">
      <alignment vertical="center"/>
    </xf>
    <xf numFmtId="4" fontId="54" fillId="0" borderId="0" xfId="16" applyNumberFormat="1" applyFont="1" applyFill="1" applyBorder="1" applyAlignment="1">
      <alignment horizontal="center" vertical="center" wrapText="1"/>
    </xf>
    <xf numFmtId="0" fontId="20" fillId="0" borderId="0" xfId="18" applyFont="1" applyFill="1" applyBorder="1" applyAlignment="1">
      <alignment vertical="center" wrapText="1"/>
    </xf>
    <xf numFmtId="2" fontId="20" fillId="0" borderId="0" xfId="18" applyNumberFormat="1" applyFont="1" applyFill="1" applyBorder="1" applyAlignment="1">
      <alignment horizontal="center" vertical="center" wrapText="1"/>
    </xf>
    <xf numFmtId="0" fontId="20" fillId="0" borderId="0" xfId="18" applyFont="1" applyFill="1" applyBorder="1" applyAlignment="1">
      <alignment horizontal="left" vertical="center"/>
    </xf>
    <xf numFmtId="1" fontId="20" fillId="0" borderId="0" xfId="18" applyNumberFormat="1" applyFont="1" applyFill="1" applyBorder="1" applyAlignment="1">
      <alignment horizontal="center" vertical="center"/>
    </xf>
    <xf numFmtId="2" fontId="54" fillId="0" borderId="0" xfId="18" applyNumberFormat="1" applyFont="1" applyFill="1" applyBorder="1" applyAlignment="1">
      <alignment horizontal="center" vertical="center"/>
    </xf>
    <xf numFmtId="4" fontId="20" fillId="0" borderId="0" xfId="18" applyNumberFormat="1" applyFont="1" applyFill="1" applyBorder="1" applyAlignment="1">
      <alignment horizontal="center" vertical="center"/>
    </xf>
    <xf numFmtId="39" fontId="54" fillId="0" borderId="0" xfId="18" applyNumberFormat="1" applyFont="1" applyFill="1" applyBorder="1" applyAlignment="1">
      <alignment horizontal="center" vertical="center"/>
    </xf>
    <xf numFmtId="1" fontId="20" fillId="0" borderId="4" xfId="16" applyNumberFormat="1" applyFont="1" applyFill="1" applyBorder="1" applyAlignment="1">
      <alignment horizontal="center" vertical="center"/>
    </xf>
    <xf numFmtId="0" fontId="20" fillId="0" borderId="4" xfId="16" applyFont="1" applyFill="1" applyBorder="1" applyAlignment="1">
      <alignment horizontal="center" vertical="center"/>
    </xf>
    <xf numFmtId="3" fontId="20" fillId="0" borderId="4" xfId="17" applyNumberFormat="1" applyFont="1" applyFill="1" applyBorder="1" applyAlignment="1">
      <alignment horizontal="center" vertical="center"/>
    </xf>
    <xf numFmtId="3" fontId="20" fillId="0" borderId="25" xfId="16" applyNumberFormat="1" applyFont="1" applyFill="1" applyBorder="1" applyAlignment="1">
      <alignment horizontal="center" vertical="center" wrapText="1"/>
    </xf>
    <xf numFmtId="3" fontId="54" fillId="0" borderId="8" xfId="16" applyNumberFormat="1" applyFont="1" applyFill="1" applyBorder="1" applyAlignment="1">
      <alignment horizontal="center" vertical="center" wrapText="1"/>
    </xf>
    <xf numFmtId="175" fontId="54" fillId="0" borderId="0" xfId="16" applyNumberFormat="1" applyFont="1" applyFill="1" applyBorder="1" applyAlignment="1">
      <alignment horizontal="center" vertical="center" wrapText="1"/>
    </xf>
    <xf numFmtId="4" fontId="20" fillId="0" borderId="0" xfId="16" applyNumberFormat="1" applyFont="1" applyFill="1" applyBorder="1" applyAlignment="1">
      <alignment vertical="center"/>
    </xf>
    <xf numFmtId="4" fontId="20" fillId="0" borderId="0" xfId="16" applyNumberFormat="1" applyFont="1" applyFill="1" applyBorder="1" applyAlignment="1">
      <alignment horizontal="right"/>
    </xf>
    <xf numFmtId="0" fontId="20" fillId="0" borderId="18" xfId="16" applyFont="1" applyFill="1" applyBorder="1" applyAlignment="1">
      <alignment horizontal="center"/>
    </xf>
    <xf numFmtId="4" fontId="20" fillId="0" borderId="12" xfId="16" applyNumberFormat="1" applyFont="1" applyFill="1" applyBorder="1" applyAlignment="1">
      <alignment horizontal="center"/>
    </xf>
    <xf numFmtId="1" fontId="20" fillId="0" borderId="12" xfId="16" applyNumberFormat="1" applyFont="1" applyFill="1" applyBorder="1" applyAlignment="1">
      <alignment horizontal="center" vertical="center"/>
    </xf>
    <xf numFmtId="3" fontId="20" fillId="0" borderId="12" xfId="17" applyNumberFormat="1" applyFont="1" applyFill="1" applyBorder="1" applyAlignment="1">
      <alignment horizontal="center" vertical="center"/>
    </xf>
    <xf numFmtId="3" fontId="54" fillId="0" borderId="12" xfId="16" applyNumberFormat="1" applyFont="1" applyFill="1" applyBorder="1" applyAlignment="1">
      <alignment horizontal="center" vertical="center" wrapText="1"/>
    </xf>
    <xf numFmtId="3" fontId="20" fillId="0" borderId="47" xfId="16" applyNumberFormat="1" applyFont="1" applyFill="1" applyBorder="1" applyAlignment="1">
      <alignment horizontal="center" vertical="center" wrapText="1"/>
    </xf>
    <xf numFmtId="3" fontId="54" fillId="0" borderId="59" xfId="16" applyNumberFormat="1" applyFont="1" applyFill="1" applyBorder="1" applyAlignment="1">
      <alignment horizontal="center" vertical="center" wrapText="1"/>
    </xf>
    <xf numFmtId="1" fontId="20" fillId="0" borderId="12" xfId="16" applyNumberFormat="1" applyFont="1" applyFill="1" applyBorder="1" applyAlignment="1">
      <alignment horizontal="center"/>
    </xf>
    <xf numFmtId="0" fontId="20" fillId="0" borderId="12" xfId="16" applyFont="1" applyFill="1" applyBorder="1" applyAlignment="1">
      <alignment horizontal="center" wrapText="1"/>
    </xf>
    <xf numFmtId="2" fontId="20" fillId="0" borderId="12" xfId="16" applyNumberFormat="1" applyFont="1" applyFill="1" applyBorder="1" applyAlignment="1">
      <alignment horizontal="center"/>
    </xf>
    <xf numFmtId="2" fontId="20" fillId="0" borderId="0" xfId="16" applyNumberFormat="1" applyFont="1" applyFill="1" applyBorder="1" applyAlignment="1">
      <alignment horizontal="center" vertical="center"/>
    </xf>
    <xf numFmtId="2" fontId="20" fillId="0" borderId="12" xfId="16" applyNumberFormat="1" applyFont="1" applyFill="1" applyBorder="1" applyAlignment="1">
      <alignment horizontal="center" vertical="center"/>
    </xf>
    <xf numFmtId="4" fontId="20" fillId="0" borderId="12" xfId="16" applyNumberFormat="1" applyFont="1" applyFill="1" applyBorder="1" applyAlignment="1">
      <alignment horizontal="center" vertical="center" wrapText="1"/>
    </xf>
    <xf numFmtId="0" fontId="20" fillId="0" borderId="12" xfId="17" applyFont="1" applyFill="1" applyBorder="1" applyAlignment="1">
      <alignment horizontal="center"/>
    </xf>
    <xf numFmtId="3" fontId="20" fillId="0" borderId="12" xfId="17" applyNumberFormat="1" applyFont="1" applyFill="1" applyBorder="1" applyAlignment="1">
      <alignment horizontal="center"/>
    </xf>
    <xf numFmtId="0" fontId="77" fillId="0" borderId="12" xfId="17" applyFont="1" applyFill="1" applyBorder="1" applyAlignment="1">
      <alignment horizontal="center"/>
    </xf>
    <xf numFmtId="1" fontId="20" fillId="0" borderId="0" xfId="16" applyNumberFormat="1" applyFont="1" applyFill="1" applyBorder="1" applyAlignment="1">
      <alignment horizontal="center"/>
    </xf>
    <xf numFmtId="4" fontId="54" fillId="0" borderId="0" xfId="16" applyNumberFormat="1" applyFont="1" applyFill="1" applyBorder="1" applyAlignment="1">
      <alignment horizontal="center"/>
    </xf>
    <xf numFmtId="4" fontId="77" fillId="0" borderId="0" xfId="17" applyNumberFormat="1" applyFont="1" applyFill="1" applyBorder="1"/>
    <xf numFmtId="3" fontId="54" fillId="0" borderId="12" xfId="17" applyNumberFormat="1" applyFont="1" applyFill="1" applyBorder="1" applyAlignment="1">
      <alignment horizontal="center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2" fontId="20" fillId="0" borderId="12" xfId="0" applyNumberFormat="1" applyFont="1" applyFill="1" applyBorder="1" applyAlignment="1">
      <alignment horizontal="center" vertical="center" wrapText="1"/>
    </xf>
    <xf numFmtId="3" fontId="20" fillId="0" borderId="12" xfId="0" applyNumberFormat="1" applyFont="1" applyFill="1" applyBorder="1" applyAlignment="1">
      <alignment horizontal="center" vertical="center" wrapText="1"/>
    </xf>
    <xf numFmtId="3" fontId="54" fillId="0" borderId="12" xfId="0" applyNumberFormat="1" applyFont="1" applyFill="1" applyBorder="1" applyAlignment="1">
      <alignment horizontal="center" vertical="center"/>
    </xf>
    <xf numFmtId="4" fontId="85" fillId="0" borderId="0" xfId="17" applyNumberFormat="1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2" fontId="20" fillId="0" borderId="15" xfId="0" applyNumberFormat="1" applyFont="1" applyFill="1" applyBorder="1" applyAlignment="1">
      <alignment horizontal="center" vertical="center" wrapText="1"/>
    </xf>
    <xf numFmtId="0" fontId="77" fillId="0" borderId="15" xfId="17" applyFont="1" applyFill="1" applyBorder="1" applyAlignment="1">
      <alignment horizontal="center"/>
    </xf>
    <xf numFmtId="3" fontId="20" fillId="0" borderId="15" xfId="0" applyNumberFormat="1" applyFont="1" applyFill="1" applyBorder="1" applyAlignment="1">
      <alignment horizontal="center" vertical="center" wrapText="1"/>
    </xf>
    <xf numFmtId="3" fontId="20" fillId="0" borderId="15" xfId="17" applyNumberFormat="1" applyFont="1" applyFill="1" applyBorder="1" applyAlignment="1">
      <alignment horizontal="center" vertical="center"/>
    </xf>
    <xf numFmtId="3" fontId="54" fillId="0" borderId="15" xfId="0" applyNumberFormat="1" applyFont="1" applyFill="1" applyBorder="1" applyAlignment="1">
      <alignment horizontal="center" vertical="center"/>
    </xf>
    <xf numFmtId="3" fontId="20" fillId="0" borderId="10" xfId="16" applyNumberFormat="1" applyFont="1" applyFill="1" applyBorder="1" applyAlignment="1">
      <alignment horizontal="center" vertical="center" wrapText="1"/>
    </xf>
    <xf numFmtId="0" fontId="77" fillId="0" borderId="0" xfId="17" applyFont="1" applyFill="1" applyBorder="1" applyAlignment="1">
      <alignment horizontal="right"/>
    </xf>
    <xf numFmtId="1" fontId="21" fillId="0" borderId="0" xfId="17" applyNumberFormat="1" applyFont="1" applyFill="1" applyBorder="1" applyAlignment="1">
      <alignment horizontal="center"/>
    </xf>
    <xf numFmtId="170" fontId="0" fillId="0" borderId="0" xfId="2" applyNumberFormat="1" applyFont="1"/>
    <xf numFmtId="0" fontId="18" fillId="0" borderId="77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2" fontId="88" fillId="0" borderId="13" xfId="0" applyNumberFormat="1" applyFont="1" applyBorder="1" applyAlignment="1">
      <alignment horizontal="center" vertical="center"/>
    </xf>
    <xf numFmtId="2" fontId="89" fillId="0" borderId="0" xfId="0" applyNumberFormat="1" applyFont="1" applyAlignment="1">
      <alignment horizontal="center" vertical="center"/>
    </xf>
    <xf numFmtId="2" fontId="88" fillId="0" borderId="78" xfId="0" applyNumberFormat="1" applyFont="1" applyBorder="1" applyAlignment="1">
      <alignment vertical="center"/>
    </xf>
    <xf numFmtId="0" fontId="10" fillId="0" borderId="0" xfId="12" applyAlignment="1">
      <alignment horizontal="center"/>
    </xf>
    <xf numFmtId="0" fontId="22" fillId="0" borderId="0" xfId="12" applyFont="1"/>
    <xf numFmtId="3" fontId="90" fillId="0" borderId="0" xfId="12" applyNumberFormat="1" applyFont="1" applyAlignment="1">
      <alignment horizontal="right"/>
    </xf>
    <xf numFmtId="49" fontId="81" fillId="0" borderId="0" xfId="12" applyNumberFormat="1" applyFont="1" applyAlignment="1">
      <alignment horizontal="center"/>
    </xf>
    <xf numFmtId="3" fontId="81" fillId="0" borderId="0" xfId="12" applyNumberFormat="1" applyFont="1" applyAlignment="1">
      <alignment horizontal="center"/>
    </xf>
    <xf numFmtId="3" fontId="91" fillId="0" borderId="0" xfId="12" applyNumberFormat="1" applyFont="1" applyAlignment="1">
      <alignment horizontal="center"/>
    </xf>
    <xf numFmtId="0" fontId="91" fillId="0" borderId="0" xfId="12" applyFont="1" applyAlignment="1">
      <alignment horizontal="center"/>
    </xf>
    <xf numFmtId="0" fontId="54" fillId="0" borderId="0" xfId="12" applyFont="1" applyAlignment="1">
      <alignment vertical="center"/>
    </xf>
    <xf numFmtId="0" fontId="74" fillId="0" borderId="0" xfId="12" applyFont="1" applyAlignment="1">
      <alignment vertical="center"/>
    </xf>
    <xf numFmtId="0" fontId="92" fillId="0" borderId="0" xfId="12" applyFont="1" applyAlignment="1">
      <alignment vertical="center"/>
    </xf>
    <xf numFmtId="49" fontId="54" fillId="16" borderId="18" xfId="12" applyNumberFormat="1" applyFont="1" applyFill="1" applyBorder="1" applyAlignment="1">
      <alignment horizontal="center" vertical="center" wrapText="1"/>
    </xf>
    <xf numFmtId="49" fontId="20" fillId="0" borderId="18" xfId="12" applyNumberFormat="1" applyFont="1" applyBorder="1" applyAlignment="1">
      <alignment horizontal="center" vertical="center" wrapText="1"/>
    </xf>
    <xf numFmtId="3" fontId="20" fillId="0" borderId="12" xfId="12" applyNumberFormat="1" applyFont="1" applyBorder="1" applyAlignment="1">
      <alignment horizontal="right" vertical="center"/>
    </xf>
    <xf numFmtId="0" fontId="93" fillId="0" borderId="0" xfId="12" quotePrefix="1" applyFont="1" applyAlignment="1">
      <alignment vertical="center"/>
    </xf>
    <xf numFmtId="178" fontId="93" fillId="0" borderId="0" xfId="12" applyNumberFormat="1" applyFont="1" applyAlignment="1">
      <alignment horizontal="center" vertical="center"/>
    </xf>
    <xf numFmtId="0" fontId="94" fillId="0" borderId="0" xfId="12" quotePrefix="1" applyFont="1" applyAlignment="1">
      <alignment vertical="center"/>
    </xf>
    <xf numFmtId="0" fontId="94" fillId="0" borderId="0" xfId="12" applyFont="1" applyAlignment="1">
      <alignment vertical="center"/>
    </xf>
    <xf numFmtId="4" fontId="20" fillId="0" borderId="12" xfId="13" quotePrefix="1" applyNumberFormat="1" applyFont="1" applyBorder="1" applyAlignment="1">
      <alignment vertical="center"/>
    </xf>
    <xf numFmtId="0" fontId="95" fillId="0" borderId="0" xfId="12" applyFont="1" applyAlignment="1">
      <alignment vertical="center"/>
    </xf>
    <xf numFmtId="0" fontId="93" fillId="0" borderId="0" xfId="12" applyFont="1" applyAlignment="1">
      <alignment vertical="center"/>
    </xf>
    <xf numFmtId="0" fontId="96" fillId="0" borderId="0" xfId="12" applyFont="1" applyAlignment="1">
      <alignment horizontal="center"/>
    </xf>
    <xf numFmtId="4" fontId="20" fillId="0" borderId="12" xfId="13" applyNumberFormat="1" applyFont="1" applyBorder="1" applyAlignment="1">
      <alignment horizontal="right" vertical="center"/>
    </xf>
    <xf numFmtId="49" fontId="20" fillId="0" borderId="19" xfId="12" applyNumberFormat="1" applyFont="1" applyBorder="1" applyAlignment="1">
      <alignment horizontal="left" vertical="center" wrapText="1"/>
    </xf>
    <xf numFmtId="179" fontId="83" fillId="0" borderId="15" xfId="12" applyNumberFormat="1" applyFont="1" applyBorder="1" applyAlignment="1">
      <alignment horizontal="right" vertical="center"/>
    </xf>
    <xf numFmtId="4" fontId="93" fillId="0" borderId="0" xfId="12" applyNumberFormat="1" applyFont="1" applyAlignment="1">
      <alignment horizontal="right" vertical="center"/>
    </xf>
    <xf numFmtId="0" fontId="93" fillId="0" borderId="0" xfId="12" applyFont="1" applyAlignment="1">
      <alignment horizontal="center" vertical="center"/>
    </xf>
    <xf numFmtId="49" fontId="10" fillId="0" borderId="0" xfId="12" applyNumberFormat="1" applyAlignment="1">
      <alignment horizontal="center" vertical="top"/>
    </xf>
    <xf numFmtId="3" fontId="10" fillId="0" borderId="0" xfId="12" applyNumberFormat="1"/>
    <xf numFmtId="3" fontId="10" fillId="0" borderId="0" xfId="12" applyNumberFormat="1" applyAlignment="1">
      <alignment horizontal="center"/>
    </xf>
    <xf numFmtId="3" fontId="22" fillId="0" borderId="0" xfId="12" applyNumberFormat="1" applyFont="1" applyAlignment="1">
      <alignment horizontal="center"/>
    </xf>
    <xf numFmtId="164" fontId="54" fillId="0" borderId="0" xfId="12" applyNumberFormat="1" applyFont="1" applyAlignment="1">
      <alignment wrapText="1"/>
    </xf>
    <xf numFmtId="3" fontId="91" fillId="0" borderId="12" xfId="12" applyNumberFormat="1" applyFont="1" applyBorder="1"/>
    <xf numFmtId="178" fontId="95" fillId="0" borderId="12" xfId="12" applyNumberFormat="1" applyFont="1" applyBorder="1" applyAlignment="1">
      <alignment horizontal="center" vertical="center"/>
    </xf>
    <xf numFmtId="3" fontId="91" fillId="0" borderId="12" xfId="12" quotePrefix="1" applyNumberFormat="1" applyFont="1" applyBorder="1" applyAlignment="1">
      <alignment horizontal="center"/>
    </xf>
    <xf numFmtId="4" fontId="10" fillId="0" borderId="0" xfId="12" applyNumberFormat="1"/>
    <xf numFmtId="3" fontId="4" fillId="0" borderId="0" xfId="12" applyNumberFormat="1" applyFont="1" applyAlignment="1">
      <alignment horizontal="center"/>
    </xf>
    <xf numFmtId="0" fontId="18" fillId="0" borderId="40" xfId="23" applyFont="1" applyBorder="1"/>
    <xf numFmtId="0" fontId="4" fillId="0" borderId="68" xfId="23" applyBorder="1" applyAlignment="1">
      <alignment horizontal="left" vertical="center"/>
    </xf>
    <xf numFmtId="0" fontId="4" fillId="0" borderId="0" xfId="23" applyAlignment="1">
      <alignment horizontal="left" vertical="center"/>
    </xf>
    <xf numFmtId="179" fontId="4" fillId="0" borderId="72" xfId="23" applyNumberFormat="1" applyBorder="1" applyAlignment="1">
      <alignment vertical="center"/>
    </xf>
    <xf numFmtId="0" fontId="4" fillId="0" borderId="17" xfId="23" applyBorder="1" applyAlignment="1">
      <alignment vertical="center"/>
    </xf>
    <xf numFmtId="179" fontId="18" fillId="0" borderId="22" xfId="23" applyNumberFormat="1" applyFont="1" applyBorder="1" applyAlignment="1">
      <alignment vertical="center"/>
    </xf>
    <xf numFmtId="0" fontId="8" fillId="0" borderId="0" xfId="7" applyFont="1"/>
    <xf numFmtId="3" fontId="8" fillId="0" borderId="0" xfId="7" applyNumberFormat="1" applyFont="1"/>
    <xf numFmtId="0" fontId="11" fillId="0" borderId="0" xfId="7" applyFont="1"/>
    <xf numFmtId="0" fontId="10" fillId="0" borderId="0" xfId="7" applyFont="1"/>
    <xf numFmtId="0" fontId="59" fillId="0" borderId="0" xfId="7"/>
    <xf numFmtId="0" fontId="52" fillId="15" borderId="12" xfId="7" applyFont="1" applyFill="1" applyBorder="1"/>
    <xf numFmtId="0" fontId="53" fillId="15" borderId="12" xfId="7" applyFont="1" applyFill="1" applyBorder="1"/>
    <xf numFmtId="0" fontId="53" fillId="15" borderId="12" xfId="7" applyFont="1" applyFill="1" applyBorder="1" applyAlignment="1">
      <alignment wrapText="1"/>
    </xf>
    <xf numFmtId="0" fontId="4" fillId="0" borderId="0" xfId="23"/>
    <xf numFmtId="0" fontId="53" fillId="0" borderId="12" xfId="7" applyFont="1" applyBorder="1"/>
    <xf numFmtId="0" fontId="53" fillId="0" borderId="12" xfId="7" applyFont="1" applyBorder="1" applyAlignment="1">
      <alignment wrapText="1"/>
    </xf>
    <xf numFmtId="2" fontId="53" fillId="0" borderId="12" xfId="7" applyNumberFormat="1" applyFont="1" applyBorder="1" applyAlignment="1">
      <alignment wrapText="1"/>
    </xf>
    <xf numFmtId="169" fontId="53" fillId="0" borderId="12" xfId="7" applyNumberFormat="1" applyFont="1" applyBorder="1" applyAlignment="1">
      <alignment wrapText="1"/>
    </xf>
    <xf numFmtId="0" fontId="20" fillId="0" borderId="12" xfId="7" applyFont="1" applyBorder="1" applyAlignment="1">
      <alignment wrapText="1"/>
    </xf>
    <xf numFmtId="175" fontId="53" fillId="0" borderId="12" xfId="7" applyNumberFormat="1" applyFont="1" applyBorder="1" applyAlignment="1">
      <alignment wrapText="1"/>
    </xf>
    <xf numFmtId="175" fontId="73" fillId="0" borderId="0" xfId="7" applyNumberFormat="1" applyFont="1"/>
    <xf numFmtId="0" fontId="93" fillId="0" borderId="12" xfId="7" applyFont="1" applyBorder="1"/>
    <xf numFmtId="169" fontId="53" fillId="15" borderId="12" xfId="7" applyNumberFormat="1" applyFont="1" applyFill="1" applyBorder="1" applyAlignment="1">
      <alignment wrapText="1"/>
    </xf>
    <xf numFmtId="0" fontId="97" fillId="0" borderId="12" xfId="7" applyFont="1" applyBorder="1" applyAlignment="1">
      <alignment wrapText="1"/>
    </xf>
    <xf numFmtId="169" fontId="94" fillId="0" borderId="12" xfId="7" applyNumberFormat="1" applyFont="1" applyBorder="1" applyAlignment="1">
      <alignment wrapText="1"/>
    </xf>
    <xf numFmtId="0" fontId="94" fillId="0" borderId="12" xfId="7" applyFont="1" applyBorder="1" applyAlignment="1">
      <alignment wrapText="1"/>
    </xf>
    <xf numFmtId="0" fontId="10" fillId="0" borderId="0" xfId="10" applyAlignment="1">
      <alignment wrapText="1"/>
    </xf>
    <xf numFmtId="4" fontId="10" fillId="0" borderId="0" xfId="10" applyNumberFormat="1" applyAlignment="1">
      <alignment wrapText="1"/>
    </xf>
    <xf numFmtId="0" fontId="98" fillId="0" borderId="12" xfId="7" applyFont="1" applyBorder="1" applyAlignment="1">
      <alignment wrapText="1"/>
    </xf>
    <xf numFmtId="0" fontId="4" fillId="0" borderId="0" xfId="22"/>
    <xf numFmtId="1" fontId="30" fillId="0" borderId="0" xfId="22" applyNumberFormat="1" applyFont="1"/>
    <xf numFmtId="0" fontId="72" fillId="0" borderId="0" xfId="22" applyFont="1"/>
    <xf numFmtId="1" fontId="80" fillId="0" borderId="0" xfId="22" applyNumberFormat="1" applyFont="1"/>
    <xf numFmtId="0" fontId="99" fillId="0" borderId="12" xfId="7" applyFont="1" applyBorder="1" applyAlignment="1">
      <alignment wrapText="1"/>
    </xf>
    <xf numFmtId="0" fontId="20" fillId="15" borderId="12" xfId="7" applyFont="1" applyFill="1" applyBorder="1" applyAlignment="1">
      <alignment wrapText="1"/>
    </xf>
    <xf numFmtId="2" fontId="94" fillId="0" borderId="12" xfId="7" applyNumberFormat="1" applyFont="1" applyBorder="1" applyAlignment="1">
      <alignment wrapText="1"/>
    </xf>
    <xf numFmtId="0" fontId="10" fillId="0" borderId="18" xfId="22" applyFont="1" applyBorder="1" applyAlignment="1">
      <alignment vertical="center"/>
    </xf>
    <xf numFmtId="0" fontId="10" fillId="0" borderId="18" xfId="22" applyFont="1" applyBorder="1" applyAlignment="1">
      <alignment vertical="center" wrapText="1"/>
    </xf>
    <xf numFmtId="0" fontId="54" fillId="15" borderId="12" xfId="7" applyFont="1" applyFill="1" applyBorder="1"/>
    <xf numFmtId="0" fontId="20" fillId="0" borderId="12" xfId="7" applyFont="1" applyBorder="1"/>
    <xf numFmtId="3" fontId="20" fillId="0" borderId="12" xfId="7" applyNumberFormat="1" applyFont="1" applyBorder="1" applyAlignment="1">
      <alignment wrapText="1"/>
    </xf>
    <xf numFmtId="0" fontId="53" fillId="0" borderId="0" xfId="7" applyFont="1"/>
    <xf numFmtId="0" fontId="53" fillId="0" borderId="0" xfId="7" applyFont="1" applyAlignment="1">
      <alignment wrapText="1"/>
    </xf>
    <xf numFmtId="169" fontId="53" fillId="0" borderId="0" xfId="7" applyNumberFormat="1" applyFont="1" applyAlignment="1">
      <alignment wrapText="1"/>
    </xf>
    <xf numFmtId="0" fontId="20" fillId="15" borderId="12" xfId="7" applyFont="1" applyFill="1" applyBorder="1"/>
    <xf numFmtId="0" fontId="22" fillId="0" borderId="0" xfId="7" applyFont="1"/>
    <xf numFmtId="4" fontId="8" fillId="0" borderId="0" xfId="7" applyNumberFormat="1" applyFont="1"/>
    <xf numFmtId="2" fontId="59" fillId="0" borderId="0" xfId="7" applyNumberFormat="1"/>
    <xf numFmtId="0" fontId="74" fillId="0" borderId="0" xfId="7" applyFont="1"/>
    <xf numFmtId="0" fontId="8" fillId="0" borderId="0" xfId="23" applyFont="1" applyAlignment="1">
      <alignment vertical="center"/>
    </xf>
    <xf numFmtId="0" fontId="59" fillId="0" borderId="0" xfId="23" applyFont="1" applyAlignment="1">
      <alignment vertical="center"/>
    </xf>
    <xf numFmtId="0" fontId="59" fillId="0" borderId="0" xfId="26" applyFont="1" applyAlignment="1">
      <alignment vertical="center"/>
    </xf>
    <xf numFmtId="0" fontId="100" fillId="0" borderId="0" xfId="23" applyFont="1" applyAlignment="1">
      <alignment vertical="center"/>
    </xf>
    <xf numFmtId="49" fontId="73" fillId="0" borderId="0" xfId="26" applyNumberFormat="1" applyFont="1" applyAlignment="1">
      <alignment vertical="center"/>
    </xf>
    <xf numFmtId="0" fontId="73" fillId="0" borderId="0" xfId="26" applyFont="1" applyAlignment="1">
      <alignment vertical="center"/>
    </xf>
    <xf numFmtId="49" fontId="101" fillId="0" borderId="0" xfId="26" applyNumberFormat="1" applyFont="1" applyAlignment="1">
      <alignment horizontal="right" vertical="center"/>
    </xf>
    <xf numFmtId="49" fontId="22" fillId="10" borderId="0" xfId="26" applyNumberFormat="1" applyFont="1" applyFill="1" applyAlignment="1">
      <alignment horizontal="center" vertical="center"/>
    </xf>
    <xf numFmtId="0" fontId="8" fillId="18" borderId="74" xfId="26" applyFont="1" applyFill="1" applyBorder="1" applyAlignment="1">
      <alignment vertical="center" wrapText="1"/>
    </xf>
    <xf numFmtId="0" fontId="73" fillId="18" borderId="12" xfId="26" applyFont="1" applyFill="1" applyBorder="1" applyAlignment="1">
      <alignment horizontal="left" vertical="center" textRotation="90"/>
    </xf>
    <xf numFmtId="0" fontId="8" fillId="18" borderId="12" xfId="26" applyFont="1" applyFill="1" applyBorder="1" applyAlignment="1">
      <alignment horizontal="left" vertical="center" textRotation="90" wrapText="1"/>
    </xf>
    <xf numFmtId="3" fontId="8" fillId="18" borderId="12" xfId="26" applyNumberFormat="1" applyFont="1" applyFill="1" applyBorder="1" applyAlignment="1">
      <alignment horizontal="left" vertical="center" textRotation="90" wrapText="1"/>
    </xf>
    <xf numFmtId="0" fontId="8" fillId="19" borderId="12" xfId="26" applyFont="1" applyFill="1" applyBorder="1" applyAlignment="1">
      <alignment horizontal="center" vertical="center" wrapText="1"/>
    </xf>
    <xf numFmtId="0" fontId="102" fillId="0" borderId="0" xfId="26" applyFont="1" applyAlignment="1">
      <alignment vertical="center"/>
    </xf>
    <xf numFmtId="49" fontId="103" fillId="15" borderId="73" xfId="26" applyNumberFormat="1" applyFont="1" applyFill="1" applyBorder="1" applyAlignment="1">
      <alignment horizontal="left" vertical="top"/>
    </xf>
    <xf numFmtId="0" fontId="103" fillId="15" borderId="73" xfId="26" applyFont="1" applyFill="1" applyBorder="1" applyAlignment="1">
      <alignment vertical="top"/>
    </xf>
    <xf numFmtId="0" fontId="40" fillId="15" borderId="73" xfId="26" applyFont="1" applyFill="1" applyBorder="1" applyAlignment="1">
      <alignment horizontal="center" vertical="top"/>
    </xf>
    <xf numFmtId="0" fontId="40" fillId="0" borderId="0" xfId="26" applyFont="1"/>
    <xf numFmtId="49" fontId="40" fillId="0" borderId="12" xfId="26" applyNumberFormat="1" applyFont="1" applyBorder="1" applyAlignment="1">
      <alignment horizontal="left" vertical="top"/>
    </xf>
    <xf numFmtId="0" fontId="52" fillId="10" borderId="12" xfId="23" applyFont="1" applyFill="1" applyBorder="1"/>
    <xf numFmtId="0" fontId="40" fillId="0" borderId="12" xfId="26" applyFont="1" applyBorder="1" applyAlignment="1">
      <alignment horizontal="center" vertical="top"/>
    </xf>
    <xf numFmtId="180" fontId="104" fillId="19" borderId="12" xfId="26" applyNumberFormat="1" applyFont="1" applyFill="1" applyBorder="1" applyAlignment="1">
      <alignment horizontal="right" vertical="top" wrapText="1"/>
    </xf>
    <xf numFmtId="180" fontId="40" fillId="0" borderId="0" xfId="26" applyNumberFormat="1" applyFont="1"/>
    <xf numFmtId="0" fontId="53" fillId="0" borderId="12" xfId="23" applyFont="1" applyBorder="1"/>
    <xf numFmtId="180" fontId="105" fillId="19" borderId="12" xfId="26" applyNumberFormat="1" applyFont="1" applyFill="1" applyBorder="1" applyAlignment="1">
      <alignment horizontal="right" vertical="top" wrapText="1"/>
    </xf>
    <xf numFmtId="180" fontId="85" fillId="19" borderId="12" xfId="26" applyNumberFormat="1" applyFont="1" applyFill="1" applyBorder="1" applyAlignment="1">
      <alignment horizontal="right" vertical="top" wrapText="1"/>
    </xf>
    <xf numFmtId="0" fontId="80" fillId="0" borderId="0" xfId="27" applyFont="1"/>
    <xf numFmtId="180" fontId="106" fillId="19" borderId="12" xfId="26" applyNumberFormat="1" applyFont="1" applyFill="1" applyBorder="1" applyAlignment="1">
      <alignment horizontal="right" vertical="top" wrapText="1"/>
    </xf>
    <xf numFmtId="180" fontId="107" fillId="19" borderId="12" xfId="26" applyNumberFormat="1" applyFont="1" applyFill="1" applyBorder="1" applyAlignment="1">
      <alignment horizontal="right" vertical="top" wrapText="1"/>
    </xf>
    <xf numFmtId="0" fontId="108" fillId="0" borderId="12" xfId="26" applyFont="1" applyBorder="1" applyAlignment="1">
      <alignment horizontal="center" vertical="top"/>
    </xf>
    <xf numFmtId="180" fontId="109" fillId="19" borderId="12" xfId="26" applyNumberFormat="1" applyFont="1" applyFill="1" applyBorder="1" applyAlignment="1">
      <alignment horizontal="right" vertical="top" wrapText="1"/>
    </xf>
    <xf numFmtId="0" fontId="110" fillId="10" borderId="12" xfId="23" applyFont="1" applyFill="1" applyBorder="1"/>
    <xf numFmtId="180" fontId="111" fillId="19" borderId="12" xfId="26" applyNumberFormat="1" applyFont="1" applyFill="1" applyBorder="1" applyAlignment="1">
      <alignment horizontal="right" vertical="top" wrapText="1"/>
    </xf>
    <xf numFmtId="0" fontId="94" fillId="0" borderId="12" xfId="23" applyFont="1" applyBorder="1"/>
    <xf numFmtId="0" fontId="112" fillId="0" borderId="0" xfId="26" applyFont="1"/>
    <xf numFmtId="49" fontId="73" fillId="0" borderId="0" xfId="26" applyNumberFormat="1" applyFont="1" applyAlignment="1">
      <alignment horizontal="center" vertical="center"/>
    </xf>
    <xf numFmtId="0" fontId="59" fillId="10" borderId="21" xfId="26" applyFont="1" applyFill="1" applyBorder="1" applyAlignment="1">
      <alignment vertical="center"/>
    </xf>
    <xf numFmtId="0" fontId="73" fillId="10" borderId="51" xfId="26" applyFont="1" applyFill="1" applyBorder="1" applyAlignment="1">
      <alignment horizontal="right" vertical="center"/>
    </xf>
    <xf numFmtId="0" fontId="73" fillId="10" borderId="52" xfId="26" applyFont="1" applyFill="1" applyBorder="1" applyAlignment="1">
      <alignment horizontal="right" vertical="center"/>
    </xf>
    <xf numFmtId="176" fontId="8" fillId="10" borderId="41" xfId="26" applyNumberFormat="1" applyFont="1" applyFill="1" applyBorder="1" applyAlignment="1">
      <alignment vertical="center"/>
    </xf>
    <xf numFmtId="180" fontId="59" fillId="0" borderId="0" xfId="26" applyNumberFormat="1" applyFont="1" applyAlignment="1">
      <alignment vertical="center"/>
    </xf>
    <xf numFmtId="0" fontId="73" fillId="0" borderId="0" xfId="26" applyFont="1" applyAlignment="1">
      <alignment horizontal="right" vertical="center"/>
    </xf>
    <xf numFmtId="181" fontId="73" fillId="0" borderId="76" xfId="26" applyNumberFormat="1" applyFont="1" applyBorder="1" applyAlignment="1">
      <alignment horizontal="right" vertical="center"/>
    </xf>
    <xf numFmtId="49" fontId="73" fillId="0" borderId="0" xfId="26" applyNumberFormat="1" applyFont="1" applyAlignment="1">
      <alignment horizontal="right" vertical="center"/>
    </xf>
    <xf numFmtId="49" fontId="59" fillId="0" borderId="0" xfId="26" applyNumberFormat="1" applyFont="1" applyAlignment="1">
      <alignment vertical="center"/>
    </xf>
    <xf numFmtId="0" fontId="60" fillId="16" borderId="0" xfId="23" applyFont="1" applyFill="1"/>
    <xf numFmtId="3" fontId="60" fillId="16" borderId="0" xfId="23" applyNumberFormat="1" applyFont="1" applyFill="1"/>
    <xf numFmtId="0" fontId="56" fillId="16" borderId="0" xfId="23" applyFont="1" applyFill="1" applyAlignment="1">
      <alignment horizontal="center"/>
    </xf>
    <xf numFmtId="0" fontId="56" fillId="16" borderId="0" xfId="23" applyFont="1" applyFill="1"/>
    <xf numFmtId="0" fontId="56" fillId="0" borderId="0" xfId="23" applyFont="1"/>
    <xf numFmtId="0" fontId="57" fillId="0" borderId="0" xfId="16" applyFont="1"/>
    <xf numFmtId="174" fontId="58" fillId="0" borderId="0" xfId="16" applyNumberFormat="1" applyFont="1"/>
    <xf numFmtId="0" fontId="56" fillId="0" borderId="0" xfId="16" applyFont="1"/>
    <xf numFmtId="0" fontId="62" fillId="0" borderId="0" xfId="23" applyFont="1"/>
    <xf numFmtId="0" fontId="56" fillId="0" borderId="0" xfId="23" applyFont="1" applyAlignment="1">
      <alignment horizontal="center"/>
    </xf>
    <xf numFmtId="0" fontId="61" fillId="0" borderId="0" xfId="16" applyFont="1"/>
    <xf numFmtId="0" fontId="55" fillId="0" borderId="0" xfId="23" applyFont="1" applyAlignment="1">
      <alignment horizontal="left"/>
    </xf>
    <xf numFmtId="3" fontId="61" fillId="0" borderId="0" xfId="16" applyNumberFormat="1" applyFont="1"/>
    <xf numFmtId="4" fontId="56" fillId="0" borderId="0" xfId="8" applyNumberFormat="1" applyFont="1" applyAlignment="1">
      <alignment vertical="center"/>
    </xf>
    <xf numFmtId="0" fontId="60" fillId="16" borderId="0" xfId="8" quotePrefix="1" applyFont="1" applyFill="1" applyAlignment="1">
      <alignment vertical="center"/>
    </xf>
    <xf numFmtId="0" fontId="60" fillId="16" borderId="0" xfId="8" applyFont="1" applyFill="1" applyAlignment="1">
      <alignment vertical="center"/>
    </xf>
    <xf numFmtId="3" fontId="60" fillId="16" borderId="0" xfId="8" applyNumberFormat="1" applyFont="1" applyFill="1" applyAlignment="1">
      <alignment vertical="center"/>
    </xf>
    <xf numFmtId="0" fontId="60" fillId="16" borderId="0" xfId="8" applyFont="1" applyFill="1" applyAlignment="1">
      <alignment horizontal="center" vertical="center"/>
    </xf>
    <xf numFmtId="4" fontId="60" fillId="16" borderId="0" xfId="8" applyNumberFormat="1" applyFont="1" applyFill="1" applyAlignment="1">
      <alignment vertical="center"/>
    </xf>
    <xf numFmtId="0" fontId="60" fillId="0" borderId="0" xfId="23" applyFont="1"/>
    <xf numFmtId="0" fontId="63" fillId="0" borderId="0" xfId="16" applyFont="1"/>
    <xf numFmtId="0" fontId="60" fillId="0" borderId="0" xfId="16" applyFont="1"/>
    <xf numFmtId="0" fontId="56" fillId="0" borderId="0" xfId="8" applyFont="1" applyAlignment="1">
      <alignment horizontal="left" vertical="center"/>
    </xf>
    <xf numFmtId="0" fontId="56" fillId="0" borderId="0" xfId="8" applyFont="1" applyAlignment="1">
      <alignment vertical="center"/>
    </xf>
    <xf numFmtId="0" fontId="56" fillId="0" borderId="0" xfId="8" applyFont="1" applyAlignment="1">
      <alignment horizontal="center" vertical="center"/>
    </xf>
    <xf numFmtId="3" fontId="60" fillId="0" borderId="0" xfId="16" applyNumberFormat="1" applyFont="1"/>
    <xf numFmtId="0" fontId="56" fillId="0" borderId="0" xfId="8" quotePrefix="1" applyFont="1" applyAlignment="1">
      <alignment vertical="center"/>
    </xf>
    <xf numFmtId="3" fontId="56" fillId="0" borderId="0" xfId="8" applyNumberFormat="1" applyFont="1" applyAlignment="1">
      <alignment vertical="center"/>
    </xf>
    <xf numFmtId="0" fontId="55" fillId="0" borderId="0" xfId="8" applyFont="1" applyAlignment="1">
      <alignment vertical="center"/>
    </xf>
    <xf numFmtId="4" fontId="56" fillId="0" borderId="0" xfId="23" applyNumberFormat="1" applyFont="1"/>
    <xf numFmtId="0" fontId="60" fillId="16" borderId="0" xfId="23" applyFont="1" applyFill="1" applyAlignment="1">
      <alignment horizontal="center"/>
    </xf>
    <xf numFmtId="4" fontId="60" fillId="16" borderId="0" xfId="23" applyNumberFormat="1" applyFont="1" applyFill="1"/>
    <xf numFmtId="0" fontId="4" fillId="0" borderId="0" xfId="23" applyAlignment="1">
      <alignment horizontal="center"/>
    </xf>
    <xf numFmtId="4" fontId="113" fillId="0" borderId="0" xfId="8" applyNumberFormat="1" applyFont="1" applyAlignment="1">
      <alignment vertical="center"/>
    </xf>
    <xf numFmtId="3" fontId="10" fillId="0" borderId="0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78" xfId="0" applyNumberFormat="1" applyFont="1" applyFill="1" applyBorder="1" applyAlignment="1">
      <alignment horizontal="center" vertical="center" wrapText="1"/>
    </xf>
    <xf numFmtId="3" fontId="18" fillId="0" borderId="52" xfId="0" applyNumberFormat="1" applyFont="1" applyBorder="1" applyAlignment="1">
      <alignment horizontal="center" vertical="center" wrapText="1"/>
    </xf>
    <xf numFmtId="166" fontId="28" fillId="0" borderId="12" xfId="0" applyNumberFormat="1" applyFont="1" applyFill="1" applyBorder="1" applyAlignment="1"/>
    <xf numFmtId="0" fontId="1" fillId="0" borderId="77" xfId="0" applyFont="1" applyFill="1" applyBorder="1" applyAlignment="1">
      <alignment vertical="center" wrapText="1"/>
    </xf>
    <xf numFmtId="2" fontId="88" fillId="0" borderId="12" xfId="0" applyNumberFormat="1" applyFont="1" applyBorder="1" applyAlignment="1">
      <alignment horizontal="center" vertical="center"/>
    </xf>
    <xf numFmtId="0" fontId="10" fillId="0" borderId="78" xfId="0" applyFont="1" applyBorder="1" applyAlignment="1">
      <alignment horizontal="left" vertical="center" wrapText="1"/>
    </xf>
    <xf numFmtId="0" fontId="10" fillId="0" borderId="56" xfId="0" quotePrefix="1" applyFont="1" applyBorder="1" applyAlignment="1">
      <alignment horizontal="left" vertical="center" wrapText="1"/>
    </xf>
    <xf numFmtId="0" fontId="10" fillId="0" borderId="57" xfId="0" quotePrefix="1" applyFont="1" applyBorder="1" applyAlignment="1">
      <alignment horizontal="left" vertical="center" wrapText="1"/>
    </xf>
    <xf numFmtId="0" fontId="10" fillId="0" borderId="58" xfId="0" quotePrefix="1" applyFont="1" applyBorder="1" applyAlignment="1">
      <alignment horizontal="left" vertical="center" wrapText="1"/>
    </xf>
    <xf numFmtId="0" fontId="10" fillId="0" borderId="77" xfId="0" quotePrefix="1" applyFont="1" applyBorder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 wrapText="1"/>
    </xf>
    <xf numFmtId="0" fontId="10" fillId="0" borderId="78" xfId="0" quotePrefix="1" applyFont="1" applyBorder="1" applyAlignment="1">
      <alignment horizontal="left" vertical="center" wrapText="1"/>
    </xf>
    <xf numFmtId="0" fontId="10" fillId="0" borderId="79" xfId="0" quotePrefix="1" applyFont="1" applyBorder="1" applyAlignment="1">
      <alignment horizontal="left" vertical="center" wrapText="1"/>
    </xf>
    <xf numFmtId="0" fontId="10" fillId="0" borderId="14" xfId="0" quotePrefix="1" applyFont="1" applyBorder="1" applyAlignment="1">
      <alignment horizontal="left" vertical="center" wrapText="1"/>
    </xf>
    <xf numFmtId="0" fontId="10" fillId="0" borderId="75" xfId="0" quotePrefix="1" applyFont="1" applyBorder="1" applyAlignment="1">
      <alignment horizontal="left" vertical="center" wrapText="1"/>
    </xf>
    <xf numFmtId="0" fontId="19" fillId="9" borderId="12" xfId="0" applyFont="1" applyFill="1" applyBorder="1" applyAlignment="1">
      <alignment horizontal="left"/>
    </xf>
    <xf numFmtId="0" fontId="17" fillId="8" borderId="21" xfId="0" applyFont="1" applyFill="1" applyBorder="1" applyAlignment="1">
      <alignment horizontal="center"/>
    </xf>
    <xf numFmtId="0" fontId="17" fillId="8" borderId="51" xfId="0" applyFont="1" applyFill="1" applyBorder="1" applyAlignment="1">
      <alignment horizontal="center"/>
    </xf>
    <xf numFmtId="0" fontId="17" fillId="8" borderId="52" xfId="0" applyFont="1" applyFill="1" applyBorder="1" applyAlignment="1">
      <alignment horizontal="center"/>
    </xf>
    <xf numFmtId="0" fontId="23" fillId="9" borderId="12" xfId="0" applyFont="1" applyFill="1" applyBorder="1" applyAlignment="1">
      <alignment horizontal="left"/>
    </xf>
    <xf numFmtId="0" fontId="0" fillId="0" borderId="65" xfId="0" applyFont="1" applyBorder="1" applyAlignment="1">
      <alignment horizontal="left" vertical="top" wrapText="1"/>
    </xf>
    <xf numFmtId="0" fontId="0" fillId="0" borderId="71" xfId="0" applyFont="1" applyBorder="1" applyAlignment="1">
      <alignment horizontal="left" vertical="top" wrapText="1"/>
    </xf>
    <xf numFmtId="0" fontId="0" fillId="0" borderId="40" xfId="0" applyFont="1" applyBorder="1" applyAlignment="1">
      <alignment horizontal="left" vertical="top" wrapText="1"/>
    </xf>
    <xf numFmtId="0" fontId="0" fillId="0" borderId="68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72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17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0" xfId="0" applyFont="1" applyAlignment="1">
      <alignment horizontal="center"/>
    </xf>
    <xf numFmtId="0" fontId="0" fillId="0" borderId="72" xfId="0" applyFont="1" applyBorder="1" applyAlignment="1">
      <alignment horizontal="center"/>
    </xf>
    <xf numFmtId="0" fontId="18" fillId="8" borderId="47" xfId="0" applyFont="1" applyFill="1" applyBorder="1" applyAlignment="1">
      <alignment horizontal="center"/>
    </xf>
    <xf numFmtId="0" fontId="18" fillId="8" borderId="73" xfId="0" applyFont="1" applyFill="1" applyBorder="1" applyAlignment="1">
      <alignment horizontal="center"/>
    </xf>
    <xf numFmtId="0" fontId="18" fillId="8" borderId="74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12" borderId="47" xfId="0" applyFont="1" applyFill="1" applyBorder="1" applyAlignment="1">
      <alignment horizontal="center"/>
    </xf>
    <xf numFmtId="0" fontId="34" fillId="12" borderId="74" xfId="0" applyFont="1" applyFill="1" applyBorder="1" applyAlignment="1">
      <alignment horizontal="center"/>
    </xf>
    <xf numFmtId="0" fontId="34" fillId="12" borderId="73" xfId="0" applyFont="1" applyFill="1" applyBorder="1" applyAlignment="1">
      <alignment horizontal="center"/>
    </xf>
    <xf numFmtId="0" fontId="36" fillId="14" borderId="55" xfId="0" applyFont="1" applyFill="1" applyBorder="1" applyAlignment="1">
      <alignment horizontal="center" vertical="center" wrapText="1"/>
    </xf>
    <xf numFmtId="0" fontId="36" fillId="14" borderId="67" xfId="0" applyFont="1" applyFill="1" applyBorder="1" applyAlignment="1">
      <alignment horizontal="center" vertical="center" wrapText="1"/>
    </xf>
    <xf numFmtId="0" fontId="36" fillId="14" borderId="30" xfId="0" applyFont="1" applyFill="1" applyBorder="1" applyAlignment="1">
      <alignment horizontal="center" vertical="center" wrapText="1"/>
    </xf>
    <xf numFmtId="0" fontId="36" fillId="14" borderId="21" xfId="0" applyFont="1" applyFill="1" applyBorder="1" applyAlignment="1">
      <alignment horizontal="center" vertical="center" wrapText="1"/>
    </xf>
    <xf numFmtId="0" fontId="36" fillId="14" borderId="51" xfId="0" applyFont="1" applyFill="1" applyBorder="1" applyAlignment="1">
      <alignment horizontal="center" vertical="center" wrapText="1"/>
    </xf>
    <xf numFmtId="0" fontId="36" fillId="14" borderId="5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8" borderId="47" xfId="0" applyFont="1" applyFill="1" applyBorder="1" applyAlignment="1">
      <alignment horizontal="center"/>
    </xf>
    <xf numFmtId="0" fontId="17" fillId="8" borderId="73" xfId="0" applyFont="1" applyFill="1" applyBorder="1" applyAlignment="1">
      <alignment horizontal="center"/>
    </xf>
    <xf numFmtId="0" fontId="17" fillId="8" borderId="74" xfId="0" applyFont="1" applyFill="1" applyBorder="1" applyAlignment="1">
      <alignment horizontal="center"/>
    </xf>
    <xf numFmtId="0" fontId="38" fillId="10" borderId="21" xfId="0" applyFont="1" applyFill="1" applyBorder="1" applyAlignment="1">
      <alignment horizontal="left" vertical="center" wrapText="1"/>
    </xf>
    <xf numFmtId="0" fontId="38" fillId="10" borderId="51" xfId="0" applyFont="1" applyFill="1" applyBorder="1" applyAlignment="1">
      <alignment horizontal="left" vertical="center" wrapText="1"/>
    </xf>
    <xf numFmtId="0" fontId="38" fillId="10" borderId="52" xfId="0" applyFont="1" applyFill="1" applyBorder="1" applyAlignment="1">
      <alignment horizontal="left" vertical="center" wrapText="1"/>
    </xf>
    <xf numFmtId="0" fontId="39" fillId="0" borderId="21" xfId="0" applyFont="1" applyBorder="1" applyAlignment="1">
      <alignment horizontal="left" vertical="top" wrapText="1"/>
    </xf>
    <xf numFmtId="0" fontId="39" fillId="0" borderId="51" xfId="0" applyFont="1" applyBorder="1" applyAlignment="1">
      <alignment horizontal="left" vertical="top" wrapText="1"/>
    </xf>
    <xf numFmtId="0" fontId="10" fillId="0" borderId="55" xfId="0" applyFont="1" applyFill="1" applyBorder="1" applyAlignment="1">
      <alignment horizontal="center" vertical="center" wrapText="1"/>
    </xf>
    <xf numFmtId="0" fontId="0" fillId="0" borderId="67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39" fillId="10" borderId="21" xfId="0" applyFont="1" applyFill="1" applyBorder="1" applyAlignment="1">
      <alignment horizontal="left" vertical="center" wrapText="1"/>
    </xf>
    <xf numFmtId="0" fontId="39" fillId="10" borderId="51" xfId="0" applyFont="1" applyFill="1" applyBorder="1" applyAlignment="1">
      <alignment horizontal="left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top" wrapText="1"/>
    </xf>
    <xf numFmtId="0" fontId="10" fillId="0" borderId="51" xfId="0" applyFont="1" applyBorder="1" applyAlignment="1">
      <alignment horizontal="center" vertical="top" wrapText="1"/>
    </xf>
    <xf numFmtId="0" fontId="10" fillId="0" borderId="52" xfId="0" applyFont="1" applyBorder="1" applyAlignment="1">
      <alignment horizontal="center" vertical="top" wrapText="1"/>
    </xf>
    <xf numFmtId="0" fontId="8" fillId="5" borderId="56" xfId="0" applyFont="1" applyFill="1" applyBorder="1" applyAlignment="1">
      <alignment horizontal="center" vertical="top" wrapText="1"/>
    </xf>
    <xf numFmtId="0" fontId="8" fillId="5" borderId="57" xfId="0" applyFont="1" applyFill="1" applyBorder="1" applyAlignment="1">
      <alignment horizontal="center" vertical="top" wrapText="1"/>
    </xf>
    <xf numFmtId="0" fontId="8" fillId="5" borderId="58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10" fillId="0" borderId="21" xfId="3" applyFont="1" applyBorder="1" applyAlignment="1">
      <alignment horizontal="center" vertical="top" wrapText="1"/>
    </xf>
    <xf numFmtId="0" fontId="10" fillId="0" borderId="51" xfId="3" applyFont="1" applyBorder="1" applyAlignment="1">
      <alignment horizontal="center" vertical="top" wrapText="1"/>
    </xf>
    <xf numFmtId="0" fontId="10" fillId="0" borderId="52" xfId="3" applyFont="1" applyBorder="1" applyAlignment="1">
      <alignment horizontal="center" vertical="top" wrapText="1"/>
    </xf>
    <xf numFmtId="0" fontId="8" fillId="5" borderId="56" xfId="3" applyFont="1" applyFill="1" applyBorder="1" applyAlignment="1">
      <alignment horizontal="center" vertical="top" wrapText="1"/>
    </xf>
    <xf numFmtId="0" fontId="8" fillId="5" borderId="57" xfId="3" applyFont="1" applyFill="1" applyBorder="1" applyAlignment="1">
      <alignment horizontal="center" vertical="top" wrapText="1"/>
    </xf>
    <xf numFmtId="0" fontId="8" fillId="5" borderId="58" xfId="3" applyFont="1" applyFill="1" applyBorder="1" applyAlignment="1">
      <alignment horizontal="center" vertical="top" wrapText="1"/>
    </xf>
    <xf numFmtId="0" fontId="8" fillId="0" borderId="0" xfId="3" applyFont="1" applyAlignment="1">
      <alignment horizontal="center" wrapText="1"/>
    </xf>
    <xf numFmtId="0" fontId="15" fillId="0" borderId="0" xfId="3" applyFont="1" applyBorder="1" applyAlignment="1">
      <alignment horizontal="center" wrapText="1"/>
    </xf>
    <xf numFmtId="0" fontId="54" fillId="0" borderId="0" xfId="16" applyFont="1" applyFill="1" applyBorder="1" applyAlignment="1">
      <alignment horizontal="left"/>
    </xf>
    <xf numFmtId="0" fontId="87" fillId="0" borderId="0" xfId="16" applyFont="1" applyFill="1" applyBorder="1" applyAlignment="1">
      <alignment horizontal="center" vertical="center" wrapText="1"/>
    </xf>
    <xf numFmtId="0" fontId="8" fillId="0" borderId="0" xfId="18" applyFont="1" applyFill="1" applyBorder="1" applyAlignment="1">
      <alignment horizontal="left" vertical="center" wrapText="1"/>
    </xf>
    <xf numFmtId="177" fontId="20" fillId="0" borderId="37" xfId="16" applyNumberFormat="1" applyFont="1" applyFill="1" applyBorder="1" applyAlignment="1">
      <alignment horizontal="center" vertical="center" wrapText="1"/>
    </xf>
    <xf numFmtId="177" fontId="20" fillId="0" borderId="33" xfId="16" applyNumberFormat="1" applyFont="1" applyFill="1" applyBorder="1" applyAlignment="1">
      <alignment horizontal="center" vertical="center" wrapText="1"/>
    </xf>
    <xf numFmtId="177" fontId="20" fillId="0" borderId="16" xfId="16" applyNumberFormat="1" applyFont="1" applyFill="1" applyBorder="1" applyAlignment="1">
      <alignment horizontal="center" vertical="center" wrapText="1"/>
    </xf>
    <xf numFmtId="4" fontId="20" fillId="0" borderId="33" xfId="16" applyNumberFormat="1" applyFont="1" applyFill="1" applyBorder="1" applyAlignment="1">
      <alignment horizontal="center" vertical="center" wrapText="1"/>
    </xf>
    <xf numFmtId="4" fontId="20" fillId="0" borderId="13" xfId="16" applyNumberFormat="1" applyFont="1" applyFill="1" applyBorder="1" applyAlignment="1">
      <alignment horizontal="center" vertical="center" wrapText="1"/>
    </xf>
    <xf numFmtId="2" fontId="77" fillId="0" borderId="0" xfId="17" applyNumberFormat="1" applyFont="1" applyFill="1" applyBorder="1" applyAlignment="1">
      <alignment horizontal="center" vertical="center" wrapText="1"/>
    </xf>
    <xf numFmtId="2" fontId="20" fillId="0" borderId="0" xfId="16" applyNumberFormat="1" applyFont="1" applyFill="1" applyBorder="1" applyAlignment="1">
      <alignment horizontal="center" vertical="center" wrapText="1"/>
    </xf>
    <xf numFmtId="2" fontId="20" fillId="0" borderId="0" xfId="16" applyNumberFormat="1" applyFont="1" applyFill="1" applyBorder="1" applyAlignment="1">
      <alignment horizontal="left" vertical="center" wrapText="1"/>
    </xf>
    <xf numFmtId="2" fontId="77" fillId="0" borderId="0" xfId="17" applyNumberFormat="1" applyFont="1" applyFill="1" applyBorder="1" applyAlignment="1">
      <alignment horizontal="left" vertical="center" wrapText="1"/>
    </xf>
    <xf numFmtId="0" fontId="20" fillId="0" borderId="4" xfId="16" applyFont="1" applyFill="1" applyBorder="1" applyAlignment="1">
      <alignment horizontal="center" vertical="center" textRotation="90"/>
    </xf>
    <xf numFmtId="0" fontId="20" fillId="0" borderId="12" xfId="16" applyFont="1" applyFill="1" applyBorder="1" applyAlignment="1">
      <alignment horizontal="center" vertical="center" textRotation="90"/>
    </xf>
    <xf numFmtId="0" fontId="20" fillId="0" borderId="15" xfId="16" applyFont="1" applyFill="1" applyBorder="1" applyAlignment="1">
      <alignment horizontal="center" vertical="center" textRotation="90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0" fillId="0" borderId="70" xfId="16" applyFont="1" applyBorder="1" applyAlignment="1">
      <alignment horizontal="center"/>
    </xf>
    <xf numFmtId="0" fontId="10" fillId="0" borderId="28" xfId="16" applyFont="1" applyBorder="1" applyAlignment="1">
      <alignment horizontal="center"/>
    </xf>
    <xf numFmtId="0" fontId="8" fillId="0" borderId="70" xfId="16" applyFont="1" applyBorder="1" applyAlignment="1">
      <alignment horizontal="center"/>
    </xf>
    <xf numFmtId="0" fontId="10" fillId="0" borderId="28" xfId="16" applyBorder="1" applyAlignment="1">
      <alignment horizontal="center"/>
    </xf>
    <xf numFmtId="0" fontId="10" fillId="0" borderId="21" xfId="16" applyFont="1" applyBorder="1" applyAlignment="1">
      <alignment horizontal="left"/>
    </xf>
    <xf numFmtId="0" fontId="10" fillId="0" borderId="51" xfId="16" applyFont="1" applyBorder="1" applyAlignment="1">
      <alignment horizontal="left"/>
    </xf>
    <xf numFmtId="1" fontId="18" fillId="0" borderId="81" xfId="0" applyNumberFormat="1" applyFont="1" applyBorder="1" applyAlignment="1">
      <alignment horizontal="center" vertical="center"/>
    </xf>
    <xf numFmtId="0" fontId="18" fillId="0" borderId="52" xfId="0" applyFont="1" applyBorder="1" applyAlignment="1">
      <alignment horizontal="center" vertical="center"/>
    </xf>
    <xf numFmtId="1" fontId="18" fillId="0" borderId="81" xfId="0" applyNumberFormat="1" applyFont="1" applyBorder="1" applyAlignment="1">
      <alignment horizontal="center"/>
    </xf>
    <xf numFmtId="0" fontId="18" fillId="0" borderId="52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8" fillId="3" borderId="53" xfId="0" applyFont="1" applyFill="1" applyBorder="1" applyAlignment="1">
      <alignment horizontal="center" vertical="center"/>
    </xf>
    <xf numFmtId="0" fontId="48" fillId="3" borderId="33" xfId="0" applyFont="1" applyFill="1" applyBorder="1" applyAlignment="1">
      <alignment horizontal="center" vertical="center"/>
    </xf>
    <xf numFmtId="0" fontId="48" fillId="3" borderId="16" xfId="0" applyFont="1" applyFill="1" applyBorder="1" applyAlignment="1">
      <alignment horizontal="center" vertical="center"/>
    </xf>
    <xf numFmtId="49" fontId="49" fillId="0" borderId="0" xfId="0" applyNumberFormat="1" applyFont="1" applyFill="1" applyBorder="1" applyAlignment="1">
      <alignment horizontal="center" vertical="top" wrapText="1"/>
    </xf>
    <xf numFmtId="49" fontId="48" fillId="0" borderId="14" xfId="0" applyNumberFormat="1" applyFont="1" applyFill="1" applyBorder="1" applyAlignment="1">
      <alignment horizontal="center" vertical="top" wrapText="1"/>
    </xf>
    <xf numFmtId="0" fontId="48" fillId="3" borderId="54" xfId="0" applyFont="1" applyFill="1" applyBorder="1" applyAlignment="1">
      <alignment horizontal="center" vertical="center"/>
    </xf>
    <xf numFmtId="3" fontId="15" fillId="0" borderId="0" xfId="12" applyNumberFormat="1" applyFont="1" applyAlignment="1">
      <alignment horizontal="center"/>
    </xf>
    <xf numFmtId="49" fontId="54" fillId="0" borderId="3" xfId="12" applyNumberFormat="1" applyFont="1" applyBorder="1" applyAlignment="1">
      <alignment horizontal="center" vertical="center" wrapText="1"/>
    </xf>
    <xf numFmtId="49" fontId="54" fillId="0" borderId="18" xfId="12" applyNumberFormat="1" applyFont="1" applyBorder="1" applyAlignment="1">
      <alignment horizontal="center" vertical="center" wrapText="1"/>
    </xf>
    <xf numFmtId="3" fontId="54" fillId="0" borderId="4" xfId="12" applyNumberFormat="1" applyFont="1" applyBorder="1" applyAlignment="1">
      <alignment horizontal="center" vertical="center" wrapText="1"/>
    </xf>
    <xf numFmtId="3" fontId="54" fillId="0" borderId="12" xfId="12" applyNumberFormat="1" applyFont="1" applyBorder="1" applyAlignment="1">
      <alignment horizontal="center" vertical="center" wrapText="1"/>
    </xf>
    <xf numFmtId="3" fontId="54" fillId="0" borderId="36" xfId="12" applyNumberFormat="1" applyFont="1" applyBorder="1" applyAlignment="1">
      <alignment horizontal="center" vertical="center" wrapText="1"/>
    </xf>
    <xf numFmtId="3" fontId="54" fillId="0" borderId="72" xfId="12" applyNumberFormat="1" applyFont="1" applyBorder="1" applyAlignment="1">
      <alignment horizontal="center" vertical="center" wrapText="1"/>
    </xf>
    <xf numFmtId="3" fontId="54" fillId="0" borderId="22" xfId="12" applyNumberFormat="1" applyFont="1" applyBorder="1" applyAlignment="1">
      <alignment horizontal="center" vertical="center" wrapText="1"/>
    </xf>
    <xf numFmtId="3" fontId="54" fillId="0" borderId="37" xfId="12" applyNumberFormat="1" applyFont="1" applyBorder="1" applyAlignment="1">
      <alignment horizontal="center" vertical="center" wrapText="1"/>
    </xf>
    <xf numFmtId="3" fontId="54" fillId="0" borderId="13" xfId="12" applyNumberFormat="1" applyFont="1" applyBorder="1" applyAlignment="1">
      <alignment horizontal="center" vertical="center" wrapText="1"/>
    </xf>
    <xf numFmtId="0" fontId="71" fillId="17" borderId="12" xfId="7" applyFont="1" applyFill="1" applyBorder="1" applyAlignment="1">
      <alignment horizontal="center" textRotation="90" wrapText="1"/>
    </xf>
    <xf numFmtId="0" fontId="70" fillId="17" borderId="41" xfId="7" applyFont="1" applyFill="1" applyBorder="1" applyAlignment="1">
      <alignment horizontal="center"/>
    </xf>
    <xf numFmtId="0" fontId="70" fillId="17" borderId="13" xfId="7" applyFont="1" applyFill="1" applyBorder="1" applyAlignment="1">
      <alignment horizontal="center"/>
    </xf>
    <xf numFmtId="0" fontId="71" fillId="17" borderId="12" xfId="7" applyFont="1" applyFill="1" applyBorder="1" applyAlignment="1">
      <alignment horizontal="center" textRotation="90"/>
    </xf>
    <xf numFmtId="3" fontId="114" fillId="0" borderId="12" xfId="0" applyNumberFormat="1" applyFont="1" applyFill="1" applyBorder="1" applyAlignment="1"/>
    <xf numFmtId="4" fontId="88" fillId="0" borderId="78" xfId="0" applyNumberFormat="1" applyFont="1" applyBorder="1" applyAlignment="1">
      <alignment vertical="center"/>
    </xf>
  </cellXfs>
  <cellStyles count="28">
    <cellStyle name="Comma" xfId="2" builtinId="3"/>
    <cellStyle name="Comma 2" xfId="20" xr:uid="{9B9DF706-5BD0-46CF-93BB-CF5AE7FDE97A}"/>
    <cellStyle name="Normal" xfId="0" builtinId="0"/>
    <cellStyle name="Normal 10 2 2" xfId="16" xr:uid="{30F160A3-21E2-4031-BB52-D3F32B89EA71}"/>
    <cellStyle name="Normal 10 2 3" xfId="13" xr:uid="{1A2911B0-AD43-4995-A701-4E9438FCDB7A}"/>
    <cellStyle name="Normal 10 2 6" xfId="14" xr:uid="{1DAF7F5F-523E-482A-A567-8AB52DEB0A40}"/>
    <cellStyle name="Normal 10 2 6 2" xfId="24" xr:uid="{13E48AB6-C847-41CF-8E7E-DB54EF83DFEA}"/>
    <cellStyle name="Normal 10 2 6 3" xfId="26" xr:uid="{913C6D2B-612D-489A-9A75-15FD0A2FAD61}"/>
    <cellStyle name="Normal 10 2 7" xfId="6" xr:uid="{DC1DA91A-252D-4C6A-9F6B-D77E5BC7C388}"/>
    <cellStyle name="Normal 10 2 7 2" xfId="21" xr:uid="{33713E6D-B1DF-4413-8C1F-1C9755C069ED}"/>
    <cellStyle name="Normal 16 2" xfId="15" xr:uid="{3E33B4B7-EFA1-4ED6-BC7C-67B1D896BB99}"/>
    <cellStyle name="Normal 16 2 2" xfId="25" xr:uid="{2295A5D3-369E-4A09-8D5E-49F8FF8AE00D}"/>
    <cellStyle name="Normal 16 2 3" xfId="27" xr:uid="{FBB1544E-B15E-49C0-A82B-8AB8C5BE25C2}"/>
    <cellStyle name="Normal 16 8" xfId="5" xr:uid="{1D5B7A03-47F5-440A-9776-BCA545A4B868}"/>
    <cellStyle name="Normal 17" xfId="11" xr:uid="{6A0BC23C-7B79-45DD-9095-669D71B13ACD}"/>
    <cellStyle name="Normal 17 2" xfId="23" xr:uid="{D9ABCD5A-68BD-4710-B31A-D610E249CA41}"/>
    <cellStyle name="Normal 2" xfId="1" xr:uid="{00000000-0005-0000-0000-000001000000}"/>
    <cellStyle name="Normal 2 2 2 2" xfId="8" xr:uid="{23EA79BF-EACC-4F89-8EB3-7879F0CC696A}"/>
    <cellStyle name="Normal 2 3 2" xfId="17" xr:uid="{596B3EC1-45B4-4AE4-8D69-78F08F0582B1}"/>
    <cellStyle name="Normal 3 18 3" xfId="12" xr:uid="{BAFEDAEE-B10E-415F-9513-2D4955FF5D30}"/>
    <cellStyle name="Normal 4" xfId="3" xr:uid="{BD286E58-260E-47C1-A186-D65709548850}"/>
    <cellStyle name="Normal 4 2 2 2" xfId="9" xr:uid="{636EFF16-2592-4050-A1AC-D0134C390305}"/>
    <cellStyle name="Normal 4 2 2 2 2" xfId="22" xr:uid="{7D7249AF-5DAB-43F4-81B3-814C63261D8F}"/>
    <cellStyle name="Normal 4 2 3" xfId="18" xr:uid="{7307E9AF-2B72-4E1B-9D4E-0F8C5CC2A1E9}"/>
    <cellStyle name="Normal 9" xfId="7" xr:uid="{DE52A2B3-94ED-4AD3-8BAA-692C61846F02}"/>
    <cellStyle name="Normal_bordereaux-gn" xfId="10" xr:uid="{4481BFBA-F045-421D-A907-3F29F02244AA}"/>
    <cellStyle name="Percent" xfId="4" builtinId="5"/>
    <cellStyle name="Percent 2 3" xfId="19" xr:uid="{01212ED9-71B6-43AB-BBDB-19F740C849F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8.xml"/><Relationship Id="rId42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7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41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6.xml"/><Relationship Id="rId37" Type="http://schemas.openxmlformats.org/officeDocument/2006/relationships/styles" Target="styles.xml"/><Relationship Id="rId40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Relationship Id="rId35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alcule%20hidraulice%20noi\Calcule%20hidraulice%20modificare%20format\calcule%20model%20wabag\XWC-XX-101_2x_Design%20Lo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g1\c\AFFNAT\REIMS\GESTION\test%20de%20la%20macro\LISTDE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users\Users\ABARBU\Documents\DG%20Ilfov\Romproed_09,06\13.%20DG_BRANESTI_1.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users\4_%20Implementare\01_IF.1%20Elaborarea%20AF%20si%20a%20doc.%20suport\09.%20SF\17.%20SF_rev%2007\2.%20VOL%20II%20-%20Anexe\Anexa%205\13-UAT_WS_Branesti_V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BITA\C\SetaSA\BOB\Botosani\1%20SF\Parte%20scrisa\Documentatie%20SF\Doc%20ec%20BUN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users\4_%20Implementare\01_IF.1%20Elaborarea%20AF%20si%20a%20doc.%20suport\09.%20SF\05.%20DG\1.DG%20ILFOV\13.%20DG_BRANESTI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users\Documents%20and%20Settings\n.burete.MVVDECON\Desktop\Daniel\5.1.+5.2%20new%2007.dec.2009\Deviz%20General%20Dambovita_draft%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FICE\Wien%20W02-Abwicklung%20KUL-ALT\Auftrag\K32xxxxx\k3203850\Dokument\Berechng\ALT\Design%20H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\Users\Projects\Oferta%20Alba\02.%20SEAU%20Baia%20de%20Aries\02.%20Dim_proces\Baia%20de%20Aries_calcul%20proces_in%20cur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page"/>
      <sheetName val="Content"/>
      <sheetName val="Intr."/>
      <sheetName val="V1-Data"/>
      <sheetName val="V1-Mech"/>
      <sheetName val="V1-AST"/>
      <sheetName val="V1-Oxy"/>
      <sheetName val="V1-SST"/>
      <sheetName val="V1-Prethick"/>
      <sheetName val="V1-Dewat"/>
      <sheetName val="V1-Au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DEPA"/>
    </sheetNames>
    <definedNames>
      <definedName name="Bouton19_QuandClic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z UAT Branesti curent"/>
      <sheetName val="Deviz UAT Branesti const"/>
      <sheetName val="deviz obiect"/>
      <sheetName val="4_deviz obiecte"/>
      <sheetName val="Lista Nr. LDC"/>
      <sheetName val="UAT BRANESTI"/>
      <sheetName val="AGL BRANESTI"/>
      <sheetName val="STA Branesti"/>
      <sheetName val="SEAU"/>
      <sheetName val="Deviz UAT Branesti POIM"/>
      <sheetName val="Deviz UAT Branesti POS"/>
      <sheetName val="CL2_Liste"/>
      <sheetName val="Sheet1"/>
      <sheetName val="cap 2.2"/>
      <sheetName val="Deviz CJ"/>
    </sheetNames>
    <sheetDataSet>
      <sheetData sheetId="0" refreshError="1"/>
      <sheetData sheetId="1" refreshError="1"/>
      <sheetData sheetId="2" refreshError="1"/>
      <sheetData sheetId="3" refreshError="1">
        <row r="6">
          <cell r="N6">
            <v>4.4469000000000003</v>
          </cell>
          <cell r="U6">
            <v>0.19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AA UAT Branesti"/>
      <sheetName val="GA Islaz Branesti-CL10"/>
      <sheetName val="GA1 Branesti "/>
      <sheetName val="GA2 Branesti"/>
      <sheetName val="Ext distrib Branesti"/>
      <sheetName val="Ext distrib Branesti_CL10"/>
      <sheetName val="Cap 2"/>
      <sheetName val="AA Centraliz Branesti"/>
      <sheetName val="CL2_Liste"/>
      <sheetName val="Deviz UAT Branesti POS"/>
    </sheetNames>
    <sheetDataSet>
      <sheetData sheetId="0">
        <row r="12">
          <cell r="B12" t="str">
            <v>GA Islaz Branesti-CL10</v>
          </cell>
        </row>
      </sheetData>
      <sheetData sheetId="1">
        <row r="26">
          <cell r="F26">
            <v>677983.16477136826</v>
          </cell>
        </row>
      </sheetData>
      <sheetData sheetId="2">
        <row r="51">
          <cell r="K51">
            <v>1500</v>
          </cell>
        </row>
      </sheetData>
      <sheetData sheetId="3">
        <row r="24">
          <cell r="K24">
            <v>71383</v>
          </cell>
        </row>
      </sheetData>
      <sheetData sheetId="4">
        <row r="25">
          <cell r="K25">
            <v>300608</v>
          </cell>
        </row>
      </sheetData>
      <sheetData sheetId="5"/>
      <sheetData sheetId="6">
        <row r="5">
          <cell r="B5" t="str">
            <v>Statia de tratare GA Islaz</v>
          </cell>
        </row>
      </sheetData>
      <sheetData sheetId="7">
        <row r="26">
          <cell r="B26" t="str">
            <v>GA Islaz Branesti-CL10</v>
          </cell>
        </row>
      </sheetData>
      <sheetData sheetId="8">
        <row r="2">
          <cell r="F2">
            <v>4.5991</v>
          </cell>
        </row>
      </sheetData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vG"/>
      <sheetName val="DvF"/>
      <sheetName val="DOT"/>
      <sheetName val="Cen"/>
      <sheetName val="vCA"/>
      <sheetName val="vIT"/>
      <sheetName val="vIH"/>
      <sheetName val="vIE"/>
      <sheetName val="INDIC"/>
      <sheetName val="AMORT"/>
      <sheetName val="UT"/>
      <sheetName val="Baza calcu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z UAT Branesti curent"/>
      <sheetName val="Deviz UAT Branesti const"/>
      <sheetName val="deviz obiect"/>
      <sheetName val="4_deviz obiecte"/>
      <sheetName val="Lista Nr. LDC"/>
      <sheetName val="UAT BRANESTI"/>
      <sheetName val="AGL BRANESTI"/>
      <sheetName val="STA Branesti"/>
      <sheetName val="SEAU"/>
      <sheetName val="Deviz UAT Branesti POIM"/>
      <sheetName val="Deviz UAT Branesti POS"/>
      <sheetName val="CL2_Liste"/>
      <sheetName val="Sheet1"/>
      <sheetName val="cap 2.2"/>
      <sheetName val="Deviz CJ"/>
      <sheetName val="Sheet2"/>
    </sheetNames>
    <sheetDataSet>
      <sheetData sheetId="0">
        <row r="5">
          <cell r="N5">
            <v>1.0728</v>
          </cell>
        </row>
      </sheetData>
      <sheetData sheetId="1">
        <row r="24">
          <cell r="D24">
            <v>131.05529020216332</v>
          </cell>
        </row>
      </sheetData>
      <sheetData sheetId="2"/>
      <sheetData sheetId="3">
        <row r="6">
          <cell r="N6">
            <v>4.4469000000000003</v>
          </cell>
        </row>
      </sheetData>
      <sheetData sheetId="4">
        <row r="14">
          <cell r="M14">
            <v>6235826.9900000002</v>
          </cell>
        </row>
      </sheetData>
      <sheetData sheetId="5"/>
      <sheetData sheetId="6">
        <row r="38">
          <cell r="H38">
            <v>120695</v>
          </cell>
        </row>
      </sheetData>
      <sheetData sheetId="7"/>
      <sheetData sheetId="8">
        <row r="24">
          <cell r="D24">
            <v>1441.31</v>
          </cell>
        </row>
      </sheetData>
      <sheetData sheetId="9"/>
      <sheetData sheetId="10">
        <row r="22">
          <cell r="C22">
            <v>75.843170000000001</v>
          </cell>
        </row>
      </sheetData>
      <sheetData sheetId="11">
        <row r="13">
          <cell r="D13">
            <v>75843.17</v>
          </cell>
        </row>
      </sheetData>
      <sheetData sheetId="12"/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z General Dambovita"/>
      <sheetName val="Variables"/>
      <sheetName val="Summary Tables for Report"/>
      <sheetName val="Centralizator UAT TA"/>
      <sheetName val="For report TA"/>
      <sheetName val="Centralizator UAT MO"/>
      <sheetName val="For report MO"/>
      <sheetName val="Centralizator PU"/>
      <sheetName val="For report PU"/>
      <sheetName val="Centralizator GA"/>
      <sheetName val="For report GA"/>
      <sheetName val="Centralizator FI"/>
      <sheetName val="For report FI"/>
      <sheetName val="Centralizator TI"/>
      <sheetName val="For report TI"/>
      <sheetName val="Centralizator CJ DB"/>
      <sheetName val="For report CJ DB"/>
      <sheetName val="Centralizator RA"/>
      <sheetName val="For report RA"/>
      <sheetName val="Centralizator TAR"/>
      <sheetName val="For report TAR"/>
    </sheetNames>
    <sheetDataSet>
      <sheetData sheetId="0" refreshError="1"/>
      <sheetData sheetId="1" refreshError="1">
        <row r="31">
          <cell r="D31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1-Data"/>
      <sheetName val="V1-Mech"/>
      <sheetName val="V1-AST"/>
      <sheetName val="V1-Oxy"/>
      <sheetName val="V1-SST"/>
      <sheetName val="V1-Thick"/>
      <sheetName val="V1-Dewat"/>
    </sheetNames>
    <sheetDataSet>
      <sheetData sheetId="0">
        <row r="6">
          <cell r="E6">
            <v>80000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t_apa"/>
      <sheetName val="Bilant_namol"/>
      <sheetName val="Index"/>
      <sheetName val="1_date"/>
      <sheetName val="2_Gratare rare"/>
      <sheetName val="3_Statie pompare"/>
      <sheetName val="4_GD_DSG"/>
      <sheetName val="5_SBR"/>
      <sheetName val="cicluri SBR"/>
      <sheetName val="6_Aerare_in curs"/>
      <sheetName val="7_Ingr_static"/>
      <sheetName val="8_Deshidratare namol"/>
      <sheetName val="9_Conditionare cu var"/>
      <sheetName val="10_Platforme namol"/>
      <sheetName val="11_Bazin apa uzata"/>
      <sheetName val="12_Ape meteorice"/>
      <sheetName val="13_Apa tehnologica"/>
      <sheetName val="Ve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9">
          <cell r="M9">
            <v>156</v>
          </cell>
        </row>
        <row r="17">
          <cell r="M17">
            <v>2.4000000000000004</v>
          </cell>
        </row>
      </sheetData>
      <sheetData sheetId="11" refreshError="1"/>
      <sheetData sheetId="12" refreshError="1"/>
      <sheetData sheetId="13" refreshError="1"/>
      <sheetData sheetId="14" refreshError="1">
        <row r="9">
          <cell r="N9">
            <v>12.128175536627275</v>
          </cell>
        </row>
        <row r="26">
          <cell r="K26">
            <v>4</v>
          </cell>
        </row>
      </sheetData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C4F16-92BE-47FB-A5DC-7111E35C3277}">
  <sheetPr>
    <tabColor theme="5" tint="0.39997558519241921"/>
  </sheetPr>
  <dimension ref="B1:AQ354"/>
  <sheetViews>
    <sheetView tabSelected="1" zoomScale="85" zoomScaleNormal="85" workbookViewId="0">
      <selection activeCell="D111" sqref="D111"/>
    </sheetView>
  </sheetViews>
  <sheetFormatPr defaultRowHeight="12.75" x14ac:dyDescent="0.2"/>
  <cols>
    <col min="1" max="1" width="3.85546875" style="275" customWidth="1"/>
    <col min="2" max="2" width="35.5703125" style="275" customWidth="1"/>
    <col min="3" max="3" width="16.140625" style="275" customWidth="1"/>
    <col min="4" max="4" width="14" style="275" customWidth="1"/>
    <col min="5" max="5" width="12.5703125" style="275" customWidth="1"/>
    <col min="6" max="6" width="11.28515625" style="275" customWidth="1"/>
    <col min="7" max="9" width="12.5703125" style="275" customWidth="1"/>
    <col min="10" max="10" width="14.5703125" style="275" customWidth="1"/>
    <col min="11" max="11" width="13.28515625" style="275" customWidth="1"/>
    <col min="12" max="13" width="9.140625" style="275"/>
    <col min="14" max="14" width="5.7109375" style="275" customWidth="1"/>
    <col min="15" max="15" width="6.85546875" style="275" customWidth="1"/>
    <col min="16" max="23" width="13.28515625" style="275" customWidth="1"/>
    <col min="24" max="24" width="13.28515625" style="275" hidden="1" customWidth="1"/>
    <col min="25" max="25" width="12.85546875" style="275" customWidth="1"/>
    <col min="26" max="26" width="13" style="275" customWidth="1"/>
    <col min="27" max="27" width="9.140625" style="275"/>
    <col min="28" max="28" width="0" style="275" hidden="1" customWidth="1"/>
    <col min="29" max="29" width="11.28515625" style="275" hidden="1" customWidth="1"/>
    <col min="30" max="38" width="12.85546875" style="275" hidden="1" customWidth="1"/>
    <col min="39" max="39" width="13" style="275" hidden="1" customWidth="1"/>
    <col min="40" max="40" width="11.28515625" style="275" hidden="1" customWidth="1"/>
    <col min="41" max="44" width="0" style="275" hidden="1" customWidth="1"/>
    <col min="45" max="256" width="9.140625" style="275"/>
    <col min="257" max="257" width="3.85546875" style="275" customWidth="1"/>
    <col min="258" max="258" width="32.5703125" style="275" customWidth="1"/>
    <col min="259" max="259" width="16.140625" style="275" customWidth="1"/>
    <col min="260" max="261" width="12.5703125" style="275" customWidth="1"/>
    <col min="262" max="262" width="11.28515625" style="275" customWidth="1"/>
    <col min="263" max="265" width="12.5703125" style="275" customWidth="1"/>
    <col min="266" max="266" width="14.5703125" style="275" customWidth="1"/>
    <col min="267" max="267" width="13.28515625" style="275" customWidth="1"/>
    <col min="268" max="269" width="9.140625" style="275"/>
    <col min="270" max="270" width="5.7109375" style="275" customWidth="1"/>
    <col min="271" max="271" width="6.85546875" style="275" customWidth="1"/>
    <col min="272" max="279" width="13.28515625" style="275" customWidth="1"/>
    <col min="280" max="280" width="0" style="275" hidden="1" customWidth="1"/>
    <col min="281" max="281" width="12.85546875" style="275" customWidth="1"/>
    <col min="282" max="282" width="13" style="275" customWidth="1"/>
    <col min="283" max="283" width="9.140625" style="275"/>
    <col min="284" max="300" width="0" style="275" hidden="1" customWidth="1"/>
    <col min="301" max="512" width="9.140625" style="275"/>
    <col min="513" max="513" width="3.85546875" style="275" customWidth="1"/>
    <col min="514" max="514" width="32.5703125" style="275" customWidth="1"/>
    <col min="515" max="515" width="16.140625" style="275" customWidth="1"/>
    <col min="516" max="517" width="12.5703125" style="275" customWidth="1"/>
    <col min="518" max="518" width="11.28515625" style="275" customWidth="1"/>
    <col min="519" max="521" width="12.5703125" style="275" customWidth="1"/>
    <col min="522" max="522" width="14.5703125" style="275" customWidth="1"/>
    <col min="523" max="523" width="13.28515625" style="275" customWidth="1"/>
    <col min="524" max="525" width="9.140625" style="275"/>
    <col min="526" max="526" width="5.7109375" style="275" customWidth="1"/>
    <col min="527" max="527" width="6.85546875" style="275" customWidth="1"/>
    <col min="528" max="535" width="13.28515625" style="275" customWidth="1"/>
    <col min="536" max="536" width="0" style="275" hidden="1" customWidth="1"/>
    <col min="537" max="537" width="12.85546875" style="275" customWidth="1"/>
    <col min="538" max="538" width="13" style="275" customWidth="1"/>
    <col min="539" max="539" width="9.140625" style="275"/>
    <col min="540" max="556" width="0" style="275" hidden="1" customWidth="1"/>
    <col min="557" max="768" width="9.140625" style="275"/>
    <col min="769" max="769" width="3.85546875" style="275" customWidth="1"/>
    <col min="770" max="770" width="32.5703125" style="275" customWidth="1"/>
    <col min="771" max="771" width="16.140625" style="275" customWidth="1"/>
    <col min="772" max="773" width="12.5703125" style="275" customWidth="1"/>
    <col min="774" max="774" width="11.28515625" style="275" customWidth="1"/>
    <col min="775" max="777" width="12.5703125" style="275" customWidth="1"/>
    <col min="778" max="778" width="14.5703125" style="275" customWidth="1"/>
    <col min="779" max="779" width="13.28515625" style="275" customWidth="1"/>
    <col min="780" max="781" width="9.140625" style="275"/>
    <col min="782" max="782" width="5.7109375" style="275" customWidth="1"/>
    <col min="783" max="783" width="6.85546875" style="275" customWidth="1"/>
    <col min="784" max="791" width="13.28515625" style="275" customWidth="1"/>
    <col min="792" max="792" width="0" style="275" hidden="1" customWidth="1"/>
    <col min="793" max="793" width="12.85546875" style="275" customWidth="1"/>
    <col min="794" max="794" width="13" style="275" customWidth="1"/>
    <col min="795" max="795" width="9.140625" style="275"/>
    <col min="796" max="812" width="0" style="275" hidden="1" customWidth="1"/>
    <col min="813" max="1024" width="9.140625" style="275"/>
    <col min="1025" max="1025" width="3.85546875" style="275" customWidth="1"/>
    <col min="1026" max="1026" width="32.5703125" style="275" customWidth="1"/>
    <col min="1027" max="1027" width="16.140625" style="275" customWidth="1"/>
    <col min="1028" max="1029" width="12.5703125" style="275" customWidth="1"/>
    <col min="1030" max="1030" width="11.28515625" style="275" customWidth="1"/>
    <col min="1031" max="1033" width="12.5703125" style="275" customWidth="1"/>
    <col min="1034" max="1034" width="14.5703125" style="275" customWidth="1"/>
    <col min="1035" max="1035" width="13.28515625" style="275" customWidth="1"/>
    <col min="1036" max="1037" width="9.140625" style="275"/>
    <col min="1038" max="1038" width="5.7109375" style="275" customWidth="1"/>
    <col min="1039" max="1039" width="6.85546875" style="275" customWidth="1"/>
    <col min="1040" max="1047" width="13.28515625" style="275" customWidth="1"/>
    <col min="1048" max="1048" width="0" style="275" hidden="1" customWidth="1"/>
    <col min="1049" max="1049" width="12.85546875" style="275" customWidth="1"/>
    <col min="1050" max="1050" width="13" style="275" customWidth="1"/>
    <col min="1051" max="1051" width="9.140625" style="275"/>
    <col min="1052" max="1068" width="0" style="275" hidden="1" customWidth="1"/>
    <col min="1069" max="1280" width="9.140625" style="275"/>
    <col min="1281" max="1281" width="3.85546875" style="275" customWidth="1"/>
    <col min="1282" max="1282" width="32.5703125" style="275" customWidth="1"/>
    <col min="1283" max="1283" width="16.140625" style="275" customWidth="1"/>
    <col min="1284" max="1285" width="12.5703125" style="275" customWidth="1"/>
    <col min="1286" max="1286" width="11.28515625" style="275" customWidth="1"/>
    <col min="1287" max="1289" width="12.5703125" style="275" customWidth="1"/>
    <col min="1290" max="1290" width="14.5703125" style="275" customWidth="1"/>
    <col min="1291" max="1291" width="13.28515625" style="275" customWidth="1"/>
    <col min="1292" max="1293" width="9.140625" style="275"/>
    <col min="1294" max="1294" width="5.7109375" style="275" customWidth="1"/>
    <col min="1295" max="1295" width="6.85546875" style="275" customWidth="1"/>
    <col min="1296" max="1303" width="13.28515625" style="275" customWidth="1"/>
    <col min="1304" max="1304" width="0" style="275" hidden="1" customWidth="1"/>
    <col min="1305" max="1305" width="12.85546875" style="275" customWidth="1"/>
    <col min="1306" max="1306" width="13" style="275" customWidth="1"/>
    <col min="1307" max="1307" width="9.140625" style="275"/>
    <col min="1308" max="1324" width="0" style="275" hidden="1" customWidth="1"/>
    <col min="1325" max="1536" width="9.140625" style="275"/>
    <col min="1537" max="1537" width="3.85546875" style="275" customWidth="1"/>
    <col min="1538" max="1538" width="32.5703125" style="275" customWidth="1"/>
    <col min="1539" max="1539" width="16.140625" style="275" customWidth="1"/>
    <col min="1540" max="1541" width="12.5703125" style="275" customWidth="1"/>
    <col min="1542" max="1542" width="11.28515625" style="275" customWidth="1"/>
    <col min="1543" max="1545" width="12.5703125" style="275" customWidth="1"/>
    <col min="1546" max="1546" width="14.5703125" style="275" customWidth="1"/>
    <col min="1547" max="1547" width="13.28515625" style="275" customWidth="1"/>
    <col min="1548" max="1549" width="9.140625" style="275"/>
    <col min="1550" max="1550" width="5.7109375" style="275" customWidth="1"/>
    <col min="1551" max="1551" width="6.85546875" style="275" customWidth="1"/>
    <col min="1552" max="1559" width="13.28515625" style="275" customWidth="1"/>
    <col min="1560" max="1560" width="0" style="275" hidden="1" customWidth="1"/>
    <col min="1561" max="1561" width="12.85546875" style="275" customWidth="1"/>
    <col min="1562" max="1562" width="13" style="275" customWidth="1"/>
    <col min="1563" max="1563" width="9.140625" style="275"/>
    <col min="1564" max="1580" width="0" style="275" hidden="1" customWidth="1"/>
    <col min="1581" max="1792" width="9.140625" style="275"/>
    <col min="1793" max="1793" width="3.85546875" style="275" customWidth="1"/>
    <col min="1794" max="1794" width="32.5703125" style="275" customWidth="1"/>
    <col min="1795" max="1795" width="16.140625" style="275" customWidth="1"/>
    <col min="1796" max="1797" width="12.5703125" style="275" customWidth="1"/>
    <col min="1798" max="1798" width="11.28515625" style="275" customWidth="1"/>
    <col min="1799" max="1801" width="12.5703125" style="275" customWidth="1"/>
    <col min="1802" max="1802" width="14.5703125" style="275" customWidth="1"/>
    <col min="1803" max="1803" width="13.28515625" style="275" customWidth="1"/>
    <col min="1804" max="1805" width="9.140625" style="275"/>
    <col min="1806" max="1806" width="5.7109375" style="275" customWidth="1"/>
    <col min="1807" max="1807" width="6.85546875" style="275" customWidth="1"/>
    <col min="1808" max="1815" width="13.28515625" style="275" customWidth="1"/>
    <col min="1816" max="1816" width="0" style="275" hidden="1" customWidth="1"/>
    <col min="1817" max="1817" width="12.85546875" style="275" customWidth="1"/>
    <col min="1818" max="1818" width="13" style="275" customWidth="1"/>
    <col min="1819" max="1819" width="9.140625" style="275"/>
    <col min="1820" max="1836" width="0" style="275" hidden="1" customWidth="1"/>
    <col min="1837" max="2048" width="9.140625" style="275"/>
    <col min="2049" max="2049" width="3.85546875" style="275" customWidth="1"/>
    <col min="2050" max="2050" width="32.5703125" style="275" customWidth="1"/>
    <col min="2051" max="2051" width="16.140625" style="275" customWidth="1"/>
    <col min="2052" max="2053" width="12.5703125" style="275" customWidth="1"/>
    <col min="2054" max="2054" width="11.28515625" style="275" customWidth="1"/>
    <col min="2055" max="2057" width="12.5703125" style="275" customWidth="1"/>
    <col min="2058" max="2058" width="14.5703125" style="275" customWidth="1"/>
    <col min="2059" max="2059" width="13.28515625" style="275" customWidth="1"/>
    <col min="2060" max="2061" width="9.140625" style="275"/>
    <col min="2062" max="2062" width="5.7109375" style="275" customWidth="1"/>
    <col min="2063" max="2063" width="6.85546875" style="275" customWidth="1"/>
    <col min="2064" max="2071" width="13.28515625" style="275" customWidth="1"/>
    <col min="2072" max="2072" width="0" style="275" hidden="1" customWidth="1"/>
    <col min="2073" max="2073" width="12.85546875" style="275" customWidth="1"/>
    <col min="2074" max="2074" width="13" style="275" customWidth="1"/>
    <col min="2075" max="2075" width="9.140625" style="275"/>
    <col min="2076" max="2092" width="0" style="275" hidden="1" customWidth="1"/>
    <col min="2093" max="2304" width="9.140625" style="275"/>
    <col min="2305" max="2305" width="3.85546875" style="275" customWidth="1"/>
    <col min="2306" max="2306" width="32.5703125" style="275" customWidth="1"/>
    <col min="2307" max="2307" width="16.140625" style="275" customWidth="1"/>
    <col min="2308" max="2309" width="12.5703125" style="275" customWidth="1"/>
    <col min="2310" max="2310" width="11.28515625" style="275" customWidth="1"/>
    <col min="2311" max="2313" width="12.5703125" style="275" customWidth="1"/>
    <col min="2314" max="2314" width="14.5703125" style="275" customWidth="1"/>
    <col min="2315" max="2315" width="13.28515625" style="275" customWidth="1"/>
    <col min="2316" max="2317" width="9.140625" style="275"/>
    <col min="2318" max="2318" width="5.7109375" style="275" customWidth="1"/>
    <col min="2319" max="2319" width="6.85546875" style="275" customWidth="1"/>
    <col min="2320" max="2327" width="13.28515625" style="275" customWidth="1"/>
    <col min="2328" max="2328" width="0" style="275" hidden="1" customWidth="1"/>
    <col min="2329" max="2329" width="12.85546875" style="275" customWidth="1"/>
    <col min="2330" max="2330" width="13" style="275" customWidth="1"/>
    <col min="2331" max="2331" width="9.140625" style="275"/>
    <col min="2332" max="2348" width="0" style="275" hidden="1" customWidth="1"/>
    <col min="2349" max="2560" width="9.140625" style="275"/>
    <col min="2561" max="2561" width="3.85546875" style="275" customWidth="1"/>
    <col min="2562" max="2562" width="32.5703125" style="275" customWidth="1"/>
    <col min="2563" max="2563" width="16.140625" style="275" customWidth="1"/>
    <col min="2564" max="2565" width="12.5703125" style="275" customWidth="1"/>
    <col min="2566" max="2566" width="11.28515625" style="275" customWidth="1"/>
    <col min="2567" max="2569" width="12.5703125" style="275" customWidth="1"/>
    <col min="2570" max="2570" width="14.5703125" style="275" customWidth="1"/>
    <col min="2571" max="2571" width="13.28515625" style="275" customWidth="1"/>
    <col min="2572" max="2573" width="9.140625" style="275"/>
    <col min="2574" max="2574" width="5.7109375" style="275" customWidth="1"/>
    <col min="2575" max="2575" width="6.85546875" style="275" customWidth="1"/>
    <col min="2576" max="2583" width="13.28515625" style="275" customWidth="1"/>
    <col min="2584" max="2584" width="0" style="275" hidden="1" customWidth="1"/>
    <col min="2585" max="2585" width="12.85546875" style="275" customWidth="1"/>
    <col min="2586" max="2586" width="13" style="275" customWidth="1"/>
    <col min="2587" max="2587" width="9.140625" style="275"/>
    <col min="2588" max="2604" width="0" style="275" hidden="1" customWidth="1"/>
    <col min="2605" max="2816" width="9.140625" style="275"/>
    <col min="2817" max="2817" width="3.85546875" style="275" customWidth="1"/>
    <col min="2818" max="2818" width="32.5703125" style="275" customWidth="1"/>
    <col min="2819" max="2819" width="16.140625" style="275" customWidth="1"/>
    <col min="2820" max="2821" width="12.5703125" style="275" customWidth="1"/>
    <col min="2822" max="2822" width="11.28515625" style="275" customWidth="1"/>
    <col min="2823" max="2825" width="12.5703125" style="275" customWidth="1"/>
    <col min="2826" max="2826" width="14.5703125" style="275" customWidth="1"/>
    <col min="2827" max="2827" width="13.28515625" style="275" customWidth="1"/>
    <col min="2828" max="2829" width="9.140625" style="275"/>
    <col min="2830" max="2830" width="5.7109375" style="275" customWidth="1"/>
    <col min="2831" max="2831" width="6.85546875" style="275" customWidth="1"/>
    <col min="2832" max="2839" width="13.28515625" style="275" customWidth="1"/>
    <col min="2840" max="2840" width="0" style="275" hidden="1" customWidth="1"/>
    <col min="2841" max="2841" width="12.85546875" style="275" customWidth="1"/>
    <col min="2842" max="2842" width="13" style="275" customWidth="1"/>
    <col min="2843" max="2843" width="9.140625" style="275"/>
    <col min="2844" max="2860" width="0" style="275" hidden="1" customWidth="1"/>
    <col min="2861" max="3072" width="9.140625" style="275"/>
    <col min="3073" max="3073" width="3.85546875" style="275" customWidth="1"/>
    <col min="3074" max="3074" width="32.5703125" style="275" customWidth="1"/>
    <col min="3075" max="3075" width="16.140625" style="275" customWidth="1"/>
    <col min="3076" max="3077" width="12.5703125" style="275" customWidth="1"/>
    <col min="3078" max="3078" width="11.28515625" style="275" customWidth="1"/>
    <col min="3079" max="3081" width="12.5703125" style="275" customWidth="1"/>
    <col min="3082" max="3082" width="14.5703125" style="275" customWidth="1"/>
    <col min="3083" max="3083" width="13.28515625" style="275" customWidth="1"/>
    <col min="3084" max="3085" width="9.140625" style="275"/>
    <col min="3086" max="3086" width="5.7109375" style="275" customWidth="1"/>
    <col min="3087" max="3087" width="6.85546875" style="275" customWidth="1"/>
    <col min="3088" max="3095" width="13.28515625" style="275" customWidth="1"/>
    <col min="3096" max="3096" width="0" style="275" hidden="1" customWidth="1"/>
    <col min="3097" max="3097" width="12.85546875" style="275" customWidth="1"/>
    <col min="3098" max="3098" width="13" style="275" customWidth="1"/>
    <col min="3099" max="3099" width="9.140625" style="275"/>
    <col min="3100" max="3116" width="0" style="275" hidden="1" customWidth="1"/>
    <col min="3117" max="3328" width="9.140625" style="275"/>
    <col min="3329" max="3329" width="3.85546875" style="275" customWidth="1"/>
    <col min="3330" max="3330" width="32.5703125" style="275" customWidth="1"/>
    <col min="3331" max="3331" width="16.140625" style="275" customWidth="1"/>
    <col min="3332" max="3333" width="12.5703125" style="275" customWidth="1"/>
    <col min="3334" max="3334" width="11.28515625" style="275" customWidth="1"/>
    <col min="3335" max="3337" width="12.5703125" style="275" customWidth="1"/>
    <col min="3338" max="3338" width="14.5703125" style="275" customWidth="1"/>
    <col min="3339" max="3339" width="13.28515625" style="275" customWidth="1"/>
    <col min="3340" max="3341" width="9.140625" style="275"/>
    <col min="3342" max="3342" width="5.7109375" style="275" customWidth="1"/>
    <col min="3343" max="3343" width="6.85546875" style="275" customWidth="1"/>
    <col min="3344" max="3351" width="13.28515625" style="275" customWidth="1"/>
    <col min="3352" max="3352" width="0" style="275" hidden="1" customWidth="1"/>
    <col min="3353" max="3353" width="12.85546875" style="275" customWidth="1"/>
    <col min="3354" max="3354" width="13" style="275" customWidth="1"/>
    <col min="3355" max="3355" width="9.140625" style="275"/>
    <col min="3356" max="3372" width="0" style="275" hidden="1" customWidth="1"/>
    <col min="3373" max="3584" width="9.140625" style="275"/>
    <col min="3585" max="3585" width="3.85546875" style="275" customWidth="1"/>
    <col min="3586" max="3586" width="32.5703125" style="275" customWidth="1"/>
    <col min="3587" max="3587" width="16.140625" style="275" customWidth="1"/>
    <col min="3588" max="3589" width="12.5703125" style="275" customWidth="1"/>
    <col min="3590" max="3590" width="11.28515625" style="275" customWidth="1"/>
    <col min="3591" max="3593" width="12.5703125" style="275" customWidth="1"/>
    <col min="3594" max="3594" width="14.5703125" style="275" customWidth="1"/>
    <col min="3595" max="3595" width="13.28515625" style="275" customWidth="1"/>
    <col min="3596" max="3597" width="9.140625" style="275"/>
    <col min="3598" max="3598" width="5.7109375" style="275" customWidth="1"/>
    <col min="3599" max="3599" width="6.85546875" style="275" customWidth="1"/>
    <col min="3600" max="3607" width="13.28515625" style="275" customWidth="1"/>
    <col min="3608" max="3608" width="0" style="275" hidden="1" customWidth="1"/>
    <col min="3609" max="3609" width="12.85546875" style="275" customWidth="1"/>
    <col min="3610" max="3610" width="13" style="275" customWidth="1"/>
    <col min="3611" max="3611" width="9.140625" style="275"/>
    <col min="3612" max="3628" width="0" style="275" hidden="1" customWidth="1"/>
    <col min="3629" max="3840" width="9.140625" style="275"/>
    <col min="3841" max="3841" width="3.85546875" style="275" customWidth="1"/>
    <col min="3842" max="3842" width="32.5703125" style="275" customWidth="1"/>
    <col min="3843" max="3843" width="16.140625" style="275" customWidth="1"/>
    <col min="3844" max="3845" width="12.5703125" style="275" customWidth="1"/>
    <col min="3846" max="3846" width="11.28515625" style="275" customWidth="1"/>
    <col min="3847" max="3849" width="12.5703125" style="275" customWidth="1"/>
    <col min="3850" max="3850" width="14.5703125" style="275" customWidth="1"/>
    <col min="3851" max="3851" width="13.28515625" style="275" customWidth="1"/>
    <col min="3852" max="3853" width="9.140625" style="275"/>
    <col min="3854" max="3854" width="5.7109375" style="275" customWidth="1"/>
    <col min="3855" max="3855" width="6.85546875" style="275" customWidth="1"/>
    <col min="3856" max="3863" width="13.28515625" style="275" customWidth="1"/>
    <col min="3864" max="3864" width="0" style="275" hidden="1" customWidth="1"/>
    <col min="3865" max="3865" width="12.85546875" style="275" customWidth="1"/>
    <col min="3866" max="3866" width="13" style="275" customWidth="1"/>
    <col min="3867" max="3867" width="9.140625" style="275"/>
    <col min="3868" max="3884" width="0" style="275" hidden="1" customWidth="1"/>
    <col min="3885" max="4096" width="9.140625" style="275"/>
    <col min="4097" max="4097" width="3.85546875" style="275" customWidth="1"/>
    <col min="4098" max="4098" width="32.5703125" style="275" customWidth="1"/>
    <col min="4099" max="4099" width="16.140625" style="275" customWidth="1"/>
    <col min="4100" max="4101" width="12.5703125" style="275" customWidth="1"/>
    <col min="4102" max="4102" width="11.28515625" style="275" customWidth="1"/>
    <col min="4103" max="4105" width="12.5703125" style="275" customWidth="1"/>
    <col min="4106" max="4106" width="14.5703125" style="275" customWidth="1"/>
    <col min="4107" max="4107" width="13.28515625" style="275" customWidth="1"/>
    <col min="4108" max="4109" width="9.140625" style="275"/>
    <col min="4110" max="4110" width="5.7109375" style="275" customWidth="1"/>
    <col min="4111" max="4111" width="6.85546875" style="275" customWidth="1"/>
    <col min="4112" max="4119" width="13.28515625" style="275" customWidth="1"/>
    <col min="4120" max="4120" width="0" style="275" hidden="1" customWidth="1"/>
    <col min="4121" max="4121" width="12.85546875" style="275" customWidth="1"/>
    <col min="4122" max="4122" width="13" style="275" customWidth="1"/>
    <col min="4123" max="4123" width="9.140625" style="275"/>
    <col min="4124" max="4140" width="0" style="275" hidden="1" customWidth="1"/>
    <col min="4141" max="4352" width="9.140625" style="275"/>
    <col min="4353" max="4353" width="3.85546875" style="275" customWidth="1"/>
    <col min="4354" max="4354" width="32.5703125" style="275" customWidth="1"/>
    <col min="4355" max="4355" width="16.140625" style="275" customWidth="1"/>
    <col min="4356" max="4357" width="12.5703125" style="275" customWidth="1"/>
    <col min="4358" max="4358" width="11.28515625" style="275" customWidth="1"/>
    <col min="4359" max="4361" width="12.5703125" style="275" customWidth="1"/>
    <col min="4362" max="4362" width="14.5703125" style="275" customWidth="1"/>
    <col min="4363" max="4363" width="13.28515625" style="275" customWidth="1"/>
    <col min="4364" max="4365" width="9.140625" style="275"/>
    <col min="4366" max="4366" width="5.7109375" style="275" customWidth="1"/>
    <col min="4367" max="4367" width="6.85546875" style="275" customWidth="1"/>
    <col min="4368" max="4375" width="13.28515625" style="275" customWidth="1"/>
    <col min="4376" max="4376" width="0" style="275" hidden="1" customWidth="1"/>
    <col min="4377" max="4377" width="12.85546875" style="275" customWidth="1"/>
    <col min="4378" max="4378" width="13" style="275" customWidth="1"/>
    <col min="4379" max="4379" width="9.140625" style="275"/>
    <col min="4380" max="4396" width="0" style="275" hidden="1" customWidth="1"/>
    <col min="4397" max="4608" width="9.140625" style="275"/>
    <col min="4609" max="4609" width="3.85546875" style="275" customWidth="1"/>
    <col min="4610" max="4610" width="32.5703125" style="275" customWidth="1"/>
    <col min="4611" max="4611" width="16.140625" style="275" customWidth="1"/>
    <col min="4612" max="4613" width="12.5703125" style="275" customWidth="1"/>
    <col min="4614" max="4614" width="11.28515625" style="275" customWidth="1"/>
    <col min="4615" max="4617" width="12.5703125" style="275" customWidth="1"/>
    <col min="4618" max="4618" width="14.5703125" style="275" customWidth="1"/>
    <col min="4619" max="4619" width="13.28515625" style="275" customWidth="1"/>
    <col min="4620" max="4621" width="9.140625" style="275"/>
    <col min="4622" max="4622" width="5.7109375" style="275" customWidth="1"/>
    <col min="4623" max="4623" width="6.85546875" style="275" customWidth="1"/>
    <col min="4624" max="4631" width="13.28515625" style="275" customWidth="1"/>
    <col min="4632" max="4632" width="0" style="275" hidden="1" customWidth="1"/>
    <col min="4633" max="4633" width="12.85546875" style="275" customWidth="1"/>
    <col min="4634" max="4634" width="13" style="275" customWidth="1"/>
    <col min="4635" max="4635" width="9.140625" style="275"/>
    <col min="4636" max="4652" width="0" style="275" hidden="1" customWidth="1"/>
    <col min="4653" max="4864" width="9.140625" style="275"/>
    <col min="4865" max="4865" width="3.85546875" style="275" customWidth="1"/>
    <col min="4866" max="4866" width="32.5703125" style="275" customWidth="1"/>
    <col min="4867" max="4867" width="16.140625" style="275" customWidth="1"/>
    <col min="4868" max="4869" width="12.5703125" style="275" customWidth="1"/>
    <col min="4870" max="4870" width="11.28515625" style="275" customWidth="1"/>
    <col min="4871" max="4873" width="12.5703125" style="275" customWidth="1"/>
    <col min="4874" max="4874" width="14.5703125" style="275" customWidth="1"/>
    <col min="4875" max="4875" width="13.28515625" style="275" customWidth="1"/>
    <col min="4876" max="4877" width="9.140625" style="275"/>
    <col min="4878" max="4878" width="5.7109375" style="275" customWidth="1"/>
    <col min="4879" max="4879" width="6.85546875" style="275" customWidth="1"/>
    <col min="4880" max="4887" width="13.28515625" style="275" customWidth="1"/>
    <col min="4888" max="4888" width="0" style="275" hidden="1" customWidth="1"/>
    <col min="4889" max="4889" width="12.85546875" style="275" customWidth="1"/>
    <col min="4890" max="4890" width="13" style="275" customWidth="1"/>
    <col min="4891" max="4891" width="9.140625" style="275"/>
    <col min="4892" max="4908" width="0" style="275" hidden="1" customWidth="1"/>
    <col min="4909" max="5120" width="9.140625" style="275"/>
    <col min="5121" max="5121" width="3.85546875" style="275" customWidth="1"/>
    <col min="5122" max="5122" width="32.5703125" style="275" customWidth="1"/>
    <col min="5123" max="5123" width="16.140625" style="275" customWidth="1"/>
    <col min="5124" max="5125" width="12.5703125" style="275" customWidth="1"/>
    <col min="5126" max="5126" width="11.28515625" style="275" customWidth="1"/>
    <col min="5127" max="5129" width="12.5703125" style="275" customWidth="1"/>
    <col min="5130" max="5130" width="14.5703125" style="275" customWidth="1"/>
    <col min="5131" max="5131" width="13.28515625" style="275" customWidth="1"/>
    <col min="5132" max="5133" width="9.140625" style="275"/>
    <col min="5134" max="5134" width="5.7109375" style="275" customWidth="1"/>
    <col min="5135" max="5135" width="6.85546875" style="275" customWidth="1"/>
    <col min="5136" max="5143" width="13.28515625" style="275" customWidth="1"/>
    <col min="5144" max="5144" width="0" style="275" hidden="1" customWidth="1"/>
    <col min="5145" max="5145" width="12.85546875" style="275" customWidth="1"/>
    <col min="5146" max="5146" width="13" style="275" customWidth="1"/>
    <col min="5147" max="5147" width="9.140625" style="275"/>
    <col min="5148" max="5164" width="0" style="275" hidden="1" customWidth="1"/>
    <col min="5165" max="5376" width="9.140625" style="275"/>
    <col min="5377" max="5377" width="3.85546875" style="275" customWidth="1"/>
    <col min="5378" max="5378" width="32.5703125" style="275" customWidth="1"/>
    <col min="5379" max="5379" width="16.140625" style="275" customWidth="1"/>
    <col min="5380" max="5381" width="12.5703125" style="275" customWidth="1"/>
    <col min="5382" max="5382" width="11.28515625" style="275" customWidth="1"/>
    <col min="5383" max="5385" width="12.5703125" style="275" customWidth="1"/>
    <col min="5386" max="5386" width="14.5703125" style="275" customWidth="1"/>
    <col min="5387" max="5387" width="13.28515625" style="275" customWidth="1"/>
    <col min="5388" max="5389" width="9.140625" style="275"/>
    <col min="5390" max="5390" width="5.7109375" style="275" customWidth="1"/>
    <col min="5391" max="5391" width="6.85546875" style="275" customWidth="1"/>
    <col min="5392" max="5399" width="13.28515625" style="275" customWidth="1"/>
    <col min="5400" max="5400" width="0" style="275" hidden="1" customWidth="1"/>
    <col min="5401" max="5401" width="12.85546875" style="275" customWidth="1"/>
    <col min="5402" max="5402" width="13" style="275" customWidth="1"/>
    <col min="5403" max="5403" width="9.140625" style="275"/>
    <col min="5404" max="5420" width="0" style="275" hidden="1" customWidth="1"/>
    <col min="5421" max="5632" width="9.140625" style="275"/>
    <col min="5633" max="5633" width="3.85546875" style="275" customWidth="1"/>
    <col min="5634" max="5634" width="32.5703125" style="275" customWidth="1"/>
    <col min="5635" max="5635" width="16.140625" style="275" customWidth="1"/>
    <col min="5636" max="5637" width="12.5703125" style="275" customWidth="1"/>
    <col min="5638" max="5638" width="11.28515625" style="275" customWidth="1"/>
    <col min="5639" max="5641" width="12.5703125" style="275" customWidth="1"/>
    <col min="5642" max="5642" width="14.5703125" style="275" customWidth="1"/>
    <col min="5643" max="5643" width="13.28515625" style="275" customWidth="1"/>
    <col min="5644" max="5645" width="9.140625" style="275"/>
    <col min="5646" max="5646" width="5.7109375" style="275" customWidth="1"/>
    <col min="5647" max="5647" width="6.85546875" style="275" customWidth="1"/>
    <col min="5648" max="5655" width="13.28515625" style="275" customWidth="1"/>
    <col min="5656" max="5656" width="0" style="275" hidden="1" customWidth="1"/>
    <col min="5657" max="5657" width="12.85546875" style="275" customWidth="1"/>
    <col min="5658" max="5658" width="13" style="275" customWidth="1"/>
    <col min="5659" max="5659" width="9.140625" style="275"/>
    <col min="5660" max="5676" width="0" style="275" hidden="1" customWidth="1"/>
    <col min="5677" max="5888" width="9.140625" style="275"/>
    <col min="5889" max="5889" width="3.85546875" style="275" customWidth="1"/>
    <col min="5890" max="5890" width="32.5703125" style="275" customWidth="1"/>
    <col min="5891" max="5891" width="16.140625" style="275" customWidth="1"/>
    <col min="5892" max="5893" width="12.5703125" style="275" customWidth="1"/>
    <col min="5894" max="5894" width="11.28515625" style="275" customWidth="1"/>
    <col min="5895" max="5897" width="12.5703125" style="275" customWidth="1"/>
    <col min="5898" max="5898" width="14.5703125" style="275" customWidth="1"/>
    <col min="5899" max="5899" width="13.28515625" style="275" customWidth="1"/>
    <col min="5900" max="5901" width="9.140625" style="275"/>
    <col min="5902" max="5902" width="5.7109375" style="275" customWidth="1"/>
    <col min="5903" max="5903" width="6.85546875" style="275" customWidth="1"/>
    <col min="5904" max="5911" width="13.28515625" style="275" customWidth="1"/>
    <col min="5912" max="5912" width="0" style="275" hidden="1" customWidth="1"/>
    <col min="5913" max="5913" width="12.85546875" style="275" customWidth="1"/>
    <col min="5914" max="5914" width="13" style="275" customWidth="1"/>
    <col min="5915" max="5915" width="9.140625" style="275"/>
    <col min="5916" max="5932" width="0" style="275" hidden="1" customWidth="1"/>
    <col min="5933" max="6144" width="9.140625" style="275"/>
    <col min="6145" max="6145" width="3.85546875" style="275" customWidth="1"/>
    <col min="6146" max="6146" width="32.5703125" style="275" customWidth="1"/>
    <col min="6147" max="6147" width="16.140625" style="275" customWidth="1"/>
    <col min="6148" max="6149" width="12.5703125" style="275" customWidth="1"/>
    <col min="6150" max="6150" width="11.28515625" style="275" customWidth="1"/>
    <col min="6151" max="6153" width="12.5703125" style="275" customWidth="1"/>
    <col min="6154" max="6154" width="14.5703125" style="275" customWidth="1"/>
    <col min="6155" max="6155" width="13.28515625" style="275" customWidth="1"/>
    <col min="6156" max="6157" width="9.140625" style="275"/>
    <col min="6158" max="6158" width="5.7109375" style="275" customWidth="1"/>
    <col min="6159" max="6159" width="6.85546875" style="275" customWidth="1"/>
    <col min="6160" max="6167" width="13.28515625" style="275" customWidth="1"/>
    <col min="6168" max="6168" width="0" style="275" hidden="1" customWidth="1"/>
    <col min="6169" max="6169" width="12.85546875" style="275" customWidth="1"/>
    <col min="6170" max="6170" width="13" style="275" customWidth="1"/>
    <col min="6171" max="6171" width="9.140625" style="275"/>
    <col min="6172" max="6188" width="0" style="275" hidden="1" customWidth="1"/>
    <col min="6189" max="6400" width="9.140625" style="275"/>
    <col min="6401" max="6401" width="3.85546875" style="275" customWidth="1"/>
    <col min="6402" max="6402" width="32.5703125" style="275" customWidth="1"/>
    <col min="6403" max="6403" width="16.140625" style="275" customWidth="1"/>
    <col min="6404" max="6405" width="12.5703125" style="275" customWidth="1"/>
    <col min="6406" max="6406" width="11.28515625" style="275" customWidth="1"/>
    <col min="6407" max="6409" width="12.5703125" style="275" customWidth="1"/>
    <col min="6410" max="6410" width="14.5703125" style="275" customWidth="1"/>
    <col min="6411" max="6411" width="13.28515625" style="275" customWidth="1"/>
    <col min="6412" max="6413" width="9.140625" style="275"/>
    <col min="6414" max="6414" width="5.7109375" style="275" customWidth="1"/>
    <col min="6415" max="6415" width="6.85546875" style="275" customWidth="1"/>
    <col min="6416" max="6423" width="13.28515625" style="275" customWidth="1"/>
    <col min="6424" max="6424" width="0" style="275" hidden="1" customWidth="1"/>
    <col min="6425" max="6425" width="12.85546875" style="275" customWidth="1"/>
    <col min="6426" max="6426" width="13" style="275" customWidth="1"/>
    <col min="6427" max="6427" width="9.140625" style="275"/>
    <col min="6428" max="6444" width="0" style="275" hidden="1" customWidth="1"/>
    <col min="6445" max="6656" width="9.140625" style="275"/>
    <col min="6657" max="6657" width="3.85546875" style="275" customWidth="1"/>
    <col min="6658" max="6658" width="32.5703125" style="275" customWidth="1"/>
    <col min="6659" max="6659" width="16.140625" style="275" customWidth="1"/>
    <col min="6660" max="6661" width="12.5703125" style="275" customWidth="1"/>
    <col min="6662" max="6662" width="11.28515625" style="275" customWidth="1"/>
    <col min="6663" max="6665" width="12.5703125" style="275" customWidth="1"/>
    <col min="6666" max="6666" width="14.5703125" style="275" customWidth="1"/>
    <col min="6667" max="6667" width="13.28515625" style="275" customWidth="1"/>
    <col min="6668" max="6669" width="9.140625" style="275"/>
    <col min="6670" max="6670" width="5.7109375" style="275" customWidth="1"/>
    <col min="6671" max="6671" width="6.85546875" style="275" customWidth="1"/>
    <col min="6672" max="6679" width="13.28515625" style="275" customWidth="1"/>
    <col min="6680" max="6680" width="0" style="275" hidden="1" customWidth="1"/>
    <col min="6681" max="6681" width="12.85546875" style="275" customWidth="1"/>
    <col min="6682" max="6682" width="13" style="275" customWidth="1"/>
    <col min="6683" max="6683" width="9.140625" style="275"/>
    <col min="6684" max="6700" width="0" style="275" hidden="1" customWidth="1"/>
    <col min="6701" max="6912" width="9.140625" style="275"/>
    <col min="6913" max="6913" width="3.85546875" style="275" customWidth="1"/>
    <col min="6914" max="6914" width="32.5703125" style="275" customWidth="1"/>
    <col min="6915" max="6915" width="16.140625" style="275" customWidth="1"/>
    <col min="6916" max="6917" width="12.5703125" style="275" customWidth="1"/>
    <col min="6918" max="6918" width="11.28515625" style="275" customWidth="1"/>
    <col min="6919" max="6921" width="12.5703125" style="275" customWidth="1"/>
    <col min="6922" max="6922" width="14.5703125" style="275" customWidth="1"/>
    <col min="6923" max="6923" width="13.28515625" style="275" customWidth="1"/>
    <col min="6924" max="6925" width="9.140625" style="275"/>
    <col min="6926" max="6926" width="5.7109375" style="275" customWidth="1"/>
    <col min="6927" max="6927" width="6.85546875" style="275" customWidth="1"/>
    <col min="6928" max="6935" width="13.28515625" style="275" customWidth="1"/>
    <col min="6936" max="6936" width="0" style="275" hidden="1" customWidth="1"/>
    <col min="6937" max="6937" width="12.85546875" style="275" customWidth="1"/>
    <col min="6938" max="6938" width="13" style="275" customWidth="1"/>
    <col min="6939" max="6939" width="9.140625" style="275"/>
    <col min="6940" max="6956" width="0" style="275" hidden="1" customWidth="1"/>
    <col min="6957" max="7168" width="9.140625" style="275"/>
    <col min="7169" max="7169" width="3.85546875" style="275" customWidth="1"/>
    <col min="7170" max="7170" width="32.5703125" style="275" customWidth="1"/>
    <col min="7171" max="7171" width="16.140625" style="275" customWidth="1"/>
    <col min="7172" max="7173" width="12.5703125" style="275" customWidth="1"/>
    <col min="7174" max="7174" width="11.28515625" style="275" customWidth="1"/>
    <col min="7175" max="7177" width="12.5703125" style="275" customWidth="1"/>
    <col min="7178" max="7178" width="14.5703125" style="275" customWidth="1"/>
    <col min="7179" max="7179" width="13.28515625" style="275" customWidth="1"/>
    <col min="7180" max="7181" width="9.140625" style="275"/>
    <col min="7182" max="7182" width="5.7109375" style="275" customWidth="1"/>
    <col min="7183" max="7183" width="6.85546875" style="275" customWidth="1"/>
    <col min="7184" max="7191" width="13.28515625" style="275" customWidth="1"/>
    <col min="7192" max="7192" width="0" style="275" hidden="1" customWidth="1"/>
    <col min="7193" max="7193" width="12.85546875" style="275" customWidth="1"/>
    <col min="7194" max="7194" width="13" style="275" customWidth="1"/>
    <col min="7195" max="7195" width="9.140625" style="275"/>
    <col min="7196" max="7212" width="0" style="275" hidden="1" customWidth="1"/>
    <col min="7213" max="7424" width="9.140625" style="275"/>
    <col min="7425" max="7425" width="3.85546875" style="275" customWidth="1"/>
    <col min="7426" max="7426" width="32.5703125" style="275" customWidth="1"/>
    <col min="7427" max="7427" width="16.140625" style="275" customWidth="1"/>
    <col min="7428" max="7429" width="12.5703125" style="275" customWidth="1"/>
    <col min="7430" max="7430" width="11.28515625" style="275" customWidth="1"/>
    <col min="7431" max="7433" width="12.5703125" style="275" customWidth="1"/>
    <col min="7434" max="7434" width="14.5703125" style="275" customWidth="1"/>
    <col min="7435" max="7435" width="13.28515625" style="275" customWidth="1"/>
    <col min="7436" max="7437" width="9.140625" style="275"/>
    <col min="7438" max="7438" width="5.7109375" style="275" customWidth="1"/>
    <col min="7439" max="7439" width="6.85546875" style="275" customWidth="1"/>
    <col min="7440" max="7447" width="13.28515625" style="275" customWidth="1"/>
    <col min="7448" max="7448" width="0" style="275" hidden="1" customWidth="1"/>
    <col min="7449" max="7449" width="12.85546875" style="275" customWidth="1"/>
    <col min="7450" max="7450" width="13" style="275" customWidth="1"/>
    <col min="7451" max="7451" width="9.140625" style="275"/>
    <col min="7452" max="7468" width="0" style="275" hidden="1" customWidth="1"/>
    <col min="7469" max="7680" width="9.140625" style="275"/>
    <col min="7681" max="7681" width="3.85546875" style="275" customWidth="1"/>
    <col min="7682" max="7682" width="32.5703125" style="275" customWidth="1"/>
    <col min="7683" max="7683" width="16.140625" style="275" customWidth="1"/>
    <col min="7684" max="7685" width="12.5703125" style="275" customWidth="1"/>
    <col min="7686" max="7686" width="11.28515625" style="275" customWidth="1"/>
    <col min="7687" max="7689" width="12.5703125" style="275" customWidth="1"/>
    <col min="7690" max="7690" width="14.5703125" style="275" customWidth="1"/>
    <col min="7691" max="7691" width="13.28515625" style="275" customWidth="1"/>
    <col min="7692" max="7693" width="9.140625" style="275"/>
    <col min="7694" max="7694" width="5.7109375" style="275" customWidth="1"/>
    <col min="7695" max="7695" width="6.85546875" style="275" customWidth="1"/>
    <col min="7696" max="7703" width="13.28515625" style="275" customWidth="1"/>
    <col min="7704" max="7704" width="0" style="275" hidden="1" customWidth="1"/>
    <col min="7705" max="7705" width="12.85546875" style="275" customWidth="1"/>
    <col min="7706" max="7706" width="13" style="275" customWidth="1"/>
    <col min="7707" max="7707" width="9.140625" style="275"/>
    <col min="7708" max="7724" width="0" style="275" hidden="1" customWidth="1"/>
    <col min="7725" max="7936" width="9.140625" style="275"/>
    <col min="7937" max="7937" width="3.85546875" style="275" customWidth="1"/>
    <col min="7938" max="7938" width="32.5703125" style="275" customWidth="1"/>
    <col min="7939" max="7939" width="16.140625" style="275" customWidth="1"/>
    <col min="7940" max="7941" width="12.5703125" style="275" customWidth="1"/>
    <col min="7942" max="7942" width="11.28515625" style="275" customWidth="1"/>
    <col min="7943" max="7945" width="12.5703125" style="275" customWidth="1"/>
    <col min="7946" max="7946" width="14.5703125" style="275" customWidth="1"/>
    <col min="7947" max="7947" width="13.28515625" style="275" customWidth="1"/>
    <col min="7948" max="7949" width="9.140625" style="275"/>
    <col min="7950" max="7950" width="5.7109375" style="275" customWidth="1"/>
    <col min="7951" max="7951" width="6.85546875" style="275" customWidth="1"/>
    <col min="7952" max="7959" width="13.28515625" style="275" customWidth="1"/>
    <col min="7960" max="7960" width="0" style="275" hidden="1" customWidth="1"/>
    <col min="7961" max="7961" width="12.85546875" style="275" customWidth="1"/>
    <col min="7962" max="7962" width="13" style="275" customWidth="1"/>
    <col min="7963" max="7963" width="9.140625" style="275"/>
    <col min="7964" max="7980" width="0" style="275" hidden="1" customWidth="1"/>
    <col min="7981" max="8192" width="9.140625" style="275"/>
    <col min="8193" max="8193" width="3.85546875" style="275" customWidth="1"/>
    <col min="8194" max="8194" width="32.5703125" style="275" customWidth="1"/>
    <col min="8195" max="8195" width="16.140625" style="275" customWidth="1"/>
    <col min="8196" max="8197" width="12.5703125" style="275" customWidth="1"/>
    <col min="8198" max="8198" width="11.28515625" style="275" customWidth="1"/>
    <col min="8199" max="8201" width="12.5703125" style="275" customWidth="1"/>
    <col min="8202" max="8202" width="14.5703125" style="275" customWidth="1"/>
    <col min="8203" max="8203" width="13.28515625" style="275" customWidth="1"/>
    <col min="8204" max="8205" width="9.140625" style="275"/>
    <col min="8206" max="8206" width="5.7109375" style="275" customWidth="1"/>
    <col min="8207" max="8207" width="6.85546875" style="275" customWidth="1"/>
    <col min="8208" max="8215" width="13.28515625" style="275" customWidth="1"/>
    <col min="8216" max="8216" width="0" style="275" hidden="1" customWidth="1"/>
    <col min="8217" max="8217" width="12.85546875" style="275" customWidth="1"/>
    <col min="8218" max="8218" width="13" style="275" customWidth="1"/>
    <col min="8219" max="8219" width="9.140625" style="275"/>
    <col min="8220" max="8236" width="0" style="275" hidden="1" customWidth="1"/>
    <col min="8237" max="8448" width="9.140625" style="275"/>
    <col min="8449" max="8449" width="3.85546875" style="275" customWidth="1"/>
    <col min="8450" max="8450" width="32.5703125" style="275" customWidth="1"/>
    <col min="8451" max="8451" width="16.140625" style="275" customWidth="1"/>
    <col min="8452" max="8453" width="12.5703125" style="275" customWidth="1"/>
    <col min="8454" max="8454" width="11.28515625" style="275" customWidth="1"/>
    <col min="8455" max="8457" width="12.5703125" style="275" customWidth="1"/>
    <col min="8458" max="8458" width="14.5703125" style="275" customWidth="1"/>
    <col min="8459" max="8459" width="13.28515625" style="275" customWidth="1"/>
    <col min="8460" max="8461" width="9.140625" style="275"/>
    <col min="8462" max="8462" width="5.7109375" style="275" customWidth="1"/>
    <col min="8463" max="8463" width="6.85546875" style="275" customWidth="1"/>
    <col min="8464" max="8471" width="13.28515625" style="275" customWidth="1"/>
    <col min="8472" max="8472" width="0" style="275" hidden="1" customWidth="1"/>
    <col min="8473" max="8473" width="12.85546875" style="275" customWidth="1"/>
    <col min="8474" max="8474" width="13" style="275" customWidth="1"/>
    <col min="8475" max="8475" width="9.140625" style="275"/>
    <col min="8476" max="8492" width="0" style="275" hidden="1" customWidth="1"/>
    <col min="8493" max="8704" width="9.140625" style="275"/>
    <col min="8705" max="8705" width="3.85546875" style="275" customWidth="1"/>
    <col min="8706" max="8706" width="32.5703125" style="275" customWidth="1"/>
    <col min="8707" max="8707" width="16.140625" style="275" customWidth="1"/>
    <col min="8708" max="8709" width="12.5703125" style="275" customWidth="1"/>
    <col min="8710" max="8710" width="11.28515625" style="275" customWidth="1"/>
    <col min="8711" max="8713" width="12.5703125" style="275" customWidth="1"/>
    <col min="8714" max="8714" width="14.5703125" style="275" customWidth="1"/>
    <col min="8715" max="8715" width="13.28515625" style="275" customWidth="1"/>
    <col min="8716" max="8717" width="9.140625" style="275"/>
    <col min="8718" max="8718" width="5.7109375" style="275" customWidth="1"/>
    <col min="8719" max="8719" width="6.85546875" style="275" customWidth="1"/>
    <col min="8720" max="8727" width="13.28515625" style="275" customWidth="1"/>
    <col min="8728" max="8728" width="0" style="275" hidden="1" customWidth="1"/>
    <col min="8729" max="8729" width="12.85546875" style="275" customWidth="1"/>
    <col min="8730" max="8730" width="13" style="275" customWidth="1"/>
    <col min="8731" max="8731" width="9.140625" style="275"/>
    <col min="8732" max="8748" width="0" style="275" hidden="1" customWidth="1"/>
    <col min="8749" max="8960" width="9.140625" style="275"/>
    <col min="8961" max="8961" width="3.85546875" style="275" customWidth="1"/>
    <col min="8962" max="8962" width="32.5703125" style="275" customWidth="1"/>
    <col min="8963" max="8963" width="16.140625" style="275" customWidth="1"/>
    <col min="8964" max="8965" width="12.5703125" style="275" customWidth="1"/>
    <col min="8966" max="8966" width="11.28515625" style="275" customWidth="1"/>
    <col min="8967" max="8969" width="12.5703125" style="275" customWidth="1"/>
    <col min="8970" max="8970" width="14.5703125" style="275" customWidth="1"/>
    <col min="8971" max="8971" width="13.28515625" style="275" customWidth="1"/>
    <col min="8972" max="8973" width="9.140625" style="275"/>
    <col min="8974" max="8974" width="5.7109375" style="275" customWidth="1"/>
    <col min="8975" max="8975" width="6.85546875" style="275" customWidth="1"/>
    <col min="8976" max="8983" width="13.28515625" style="275" customWidth="1"/>
    <col min="8984" max="8984" width="0" style="275" hidden="1" customWidth="1"/>
    <col min="8985" max="8985" width="12.85546875" style="275" customWidth="1"/>
    <col min="8986" max="8986" width="13" style="275" customWidth="1"/>
    <col min="8987" max="8987" width="9.140625" style="275"/>
    <col min="8988" max="9004" width="0" style="275" hidden="1" customWidth="1"/>
    <col min="9005" max="9216" width="9.140625" style="275"/>
    <col min="9217" max="9217" width="3.85546875" style="275" customWidth="1"/>
    <col min="9218" max="9218" width="32.5703125" style="275" customWidth="1"/>
    <col min="9219" max="9219" width="16.140625" style="275" customWidth="1"/>
    <col min="9220" max="9221" width="12.5703125" style="275" customWidth="1"/>
    <col min="9222" max="9222" width="11.28515625" style="275" customWidth="1"/>
    <col min="9223" max="9225" width="12.5703125" style="275" customWidth="1"/>
    <col min="9226" max="9226" width="14.5703125" style="275" customWidth="1"/>
    <col min="9227" max="9227" width="13.28515625" style="275" customWidth="1"/>
    <col min="9228" max="9229" width="9.140625" style="275"/>
    <col min="9230" max="9230" width="5.7109375" style="275" customWidth="1"/>
    <col min="9231" max="9231" width="6.85546875" style="275" customWidth="1"/>
    <col min="9232" max="9239" width="13.28515625" style="275" customWidth="1"/>
    <col min="9240" max="9240" width="0" style="275" hidden="1" customWidth="1"/>
    <col min="9241" max="9241" width="12.85546875" style="275" customWidth="1"/>
    <col min="9242" max="9242" width="13" style="275" customWidth="1"/>
    <col min="9243" max="9243" width="9.140625" style="275"/>
    <col min="9244" max="9260" width="0" style="275" hidden="1" customWidth="1"/>
    <col min="9261" max="9472" width="9.140625" style="275"/>
    <col min="9473" max="9473" width="3.85546875" style="275" customWidth="1"/>
    <col min="9474" max="9474" width="32.5703125" style="275" customWidth="1"/>
    <col min="9475" max="9475" width="16.140625" style="275" customWidth="1"/>
    <col min="9476" max="9477" width="12.5703125" style="275" customWidth="1"/>
    <col min="9478" max="9478" width="11.28515625" style="275" customWidth="1"/>
    <col min="9479" max="9481" width="12.5703125" style="275" customWidth="1"/>
    <col min="9482" max="9482" width="14.5703125" style="275" customWidth="1"/>
    <col min="9483" max="9483" width="13.28515625" style="275" customWidth="1"/>
    <col min="9484" max="9485" width="9.140625" style="275"/>
    <col min="9486" max="9486" width="5.7109375" style="275" customWidth="1"/>
    <col min="9487" max="9487" width="6.85546875" style="275" customWidth="1"/>
    <col min="9488" max="9495" width="13.28515625" style="275" customWidth="1"/>
    <col min="9496" max="9496" width="0" style="275" hidden="1" customWidth="1"/>
    <col min="9497" max="9497" width="12.85546875" style="275" customWidth="1"/>
    <col min="9498" max="9498" width="13" style="275" customWidth="1"/>
    <col min="9499" max="9499" width="9.140625" style="275"/>
    <col min="9500" max="9516" width="0" style="275" hidden="1" customWidth="1"/>
    <col min="9517" max="9728" width="9.140625" style="275"/>
    <col min="9729" max="9729" width="3.85546875" style="275" customWidth="1"/>
    <col min="9730" max="9730" width="32.5703125" style="275" customWidth="1"/>
    <col min="9731" max="9731" width="16.140625" style="275" customWidth="1"/>
    <col min="9732" max="9733" width="12.5703125" style="275" customWidth="1"/>
    <col min="9734" max="9734" width="11.28515625" style="275" customWidth="1"/>
    <col min="9735" max="9737" width="12.5703125" style="275" customWidth="1"/>
    <col min="9738" max="9738" width="14.5703125" style="275" customWidth="1"/>
    <col min="9739" max="9739" width="13.28515625" style="275" customWidth="1"/>
    <col min="9740" max="9741" width="9.140625" style="275"/>
    <col min="9742" max="9742" width="5.7109375" style="275" customWidth="1"/>
    <col min="9743" max="9743" width="6.85546875" style="275" customWidth="1"/>
    <col min="9744" max="9751" width="13.28515625" style="275" customWidth="1"/>
    <col min="9752" max="9752" width="0" style="275" hidden="1" customWidth="1"/>
    <col min="9753" max="9753" width="12.85546875" style="275" customWidth="1"/>
    <col min="9754" max="9754" width="13" style="275" customWidth="1"/>
    <col min="9755" max="9755" width="9.140625" style="275"/>
    <col min="9756" max="9772" width="0" style="275" hidden="1" customWidth="1"/>
    <col min="9773" max="9984" width="9.140625" style="275"/>
    <col min="9985" max="9985" width="3.85546875" style="275" customWidth="1"/>
    <col min="9986" max="9986" width="32.5703125" style="275" customWidth="1"/>
    <col min="9987" max="9987" width="16.140625" style="275" customWidth="1"/>
    <col min="9988" max="9989" width="12.5703125" style="275" customWidth="1"/>
    <col min="9990" max="9990" width="11.28515625" style="275" customWidth="1"/>
    <col min="9991" max="9993" width="12.5703125" style="275" customWidth="1"/>
    <col min="9994" max="9994" width="14.5703125" style="275" customWidth="1"/>
    <col min="9995" max="9995" width="13.28515625" style="275" customWidth="1"/>
    <col min="9996" max="9997" width="9.140625" style="275"/>
    <col min="9998" max="9998" width="5.7109375" style="275" customWidth="1"/>
    <col min="9999" max="9999" width="6.85546875" style="275" customWidth="1"/>
    <col min="10000" max="10007" width="13.28515625" style="275" customWidth="1"/>
    <col min="10008" max="10008" width="0" style="275" hidden="1" customWidth="1"/>
    <col min="10009" max="10009" width="12.85546875" style="275" customWidth="1"/>
    <col min="10010" max="10010" width="13" style="275" customWidth="1"/>
    <col min="10011" max="10011" width="9.140625" style="275"/>
    <col min="10012" max="10028" width="0" style="275" hidden="1" customWidth="1"/>
    <col min="10029" max="10240" width="9.140625" style="275"/>
    <col min="10241" max="10241" width="3.85546875" style="275" customWidth="1"/>
    <col min="10242" max="10242" width="32.5703125" style="275" customWidth="1"/>
    <col min="10243" max="10243" width="16.140625" style="275" customWidth="1"/>
    <col min="10244" max="10245" width="12.5703125" style="275" customWidth="1"/>
    <col min="10246" max="10246" width="11.28515625" style="275" customWidth="1"/>
    <col min="10247" max="10249" width="12.5703125" style="275" customWidth="1"/>
    <col min="10250" max="10250" width="14.5703125" style="275" customWidth="1"/>
    <col min="10251" max="10251" width="13.28515625" style="275" customWidth="1"/>
    <col min="10252" max="10253" width="9.140625" style="275"/>
    <col min="10254" max="10254" width="5.7109375" style="275" customWidth="1"/>
    <col min="10255" max="10255" width="6.85546875" style="275" customWidth="1"/>
    <col min="10256" max="10263" width="13.28515625" style="275" customWidth="1"/>
    <col min="10264" max="10264" width="0" style="275" hidden="1" customWidth="1"/>
    <col min="10265" max="10265" width="12.85546875" style="275" customWidth="1"/>
    <col min="10266" max="10266" width="13" style="275" customWidth="1"/>
    <col min="10267" max="10267" width="9.140625" style="275"/>
    <col min="10268" max="10284" width="0" style="275" hidden="1" customWidth="1"/>
    <col min="10285" max="10496" width="9.140625" style="275"/>
    <col min="10497" max="10497" width="3.85546875" style="275" customWidth="1"/>
    <col min="10498" max="10498" width="32.5703125" style="275" customWidth="1"/>
    <col min="10499" max="10499" width="16.140625" style="275" customWidth="1"/>
    <col min="10500" max="10501" width="12.5703125" style="275" customWidth="1"/>
    <col min="10502" max="10502" width="11.28515625" style="275" customWidth="1"/>
    <col min="10503" max="10505" width="12.5703125" style="275" customWidth="1"/>
    <col min="10506" max="10506" width="14.5703125" style="275" customWidth="1"/>
    <col min="10507" max="10507" width="13.28515625" style="275" customWidth="1"/>
    <col min="10508" max="10509" width="9.140625" style="275"/>
    <col min="10510" max="10510" width="5.7109375" style="275" customWidth="1"/>
    <col min="10511" max="10511" width="6.85546875" style="275" customWidth="1"/>
    <col min="10512" max="10519" width="13.28515625" style="275" customWidth="1"/>
    <col min="10520" max="10520" width="0" style="275" hidden="1" customWidth="1"/>
    <col min="10521" max="10521" width="12.85546875" style="275" customWidth="1"/>
    <col min="10522" max="10522" width="13" style="275" customWidth="1"/>
    <col min="10523" max="10523" width="9.140625" style="275"/>
    <col min="10524" max="10540" width="0" style="275" hidden="1" customWidth="1"/>
    <col min="10541" max="10752" width="9.140625" style="275"/>
    <col min="10753" max="10753" width="3.85546875" style="275" customWidth="1"/>
    <col min="10754" max="10754" width="32.5703125" style="275" customWidth="1"/>
    <col min="10755" max="10755" width="16.140625" style="275" customWidth="1"/>
    <col min="10756" max="10757" width="12.5703125" style="275" customWidth="1"/>
    <col min="10758" max="10758" width="11.28515625" style="275" customWidth="1"/>
    <col min="10759" max="10761" width="12.5703125" style="275" customWidth="1"/>
    <col min="10762" max="10762" width="14.5703125" style="275" customWidth="1"/>
    <col min="10763" max="10763" width="13.28515625" style="275" customWidth="1"/>
    <col min="10764" max="10765" width="9.140625" style="275"/>
    <col min="10766" max="10766" width="5.7109375" style="275" customWidth="1"/>
    <col min="10767" max="10767" width="6.85546875" style="275" customWidth="1"/>
    <col min="10768" max="10775" width="13.28515625" style="275" customWidth="1"/>
    <col min="10776" max="10776" width="0" style="275" hidden="1" customWidth="1"/>
    <col min="10777" max="10777" width="12.85546875" style="275" customWidth="1"/>
    <col min="10778" max="10778" width="13" style="275" customWidth="1"/>
    <col min="10779" max="10779" width="9.140625" style="275"/>
    <col min="10780" max="10796" width="0" style="275" hidden="1" customWidth="1"/>
    <col min="10797" max="11008" width="9.140625" style="275"/>
    <col min="11009" max="11009" width="3.85546875" style="275" customWidth="1"/>
    <col min="11010" max="11010" width="32.5703125" style="275" customWidth="1"/>
    <col min="11011" max="11011" width="16.140625" style="275" customWidth="1"/>
    <col min="11012" max="11013" width="12.5703125" style="275" customWidth="1"/>
    <col min="11014" max="11014" width="11.28515625" style="275" customWidth="1"/>
    <col min="11015" max="11017" width="12.5703125" style="275" customWidth="1"/>
    <col min="11018" max="11018" width="14.5703125" style="275" customWidth="1"/>
    <col min="11019" max="11019" width="13.28515625" style="275" customWidth="1"/>
    <col min="11020" max="11021" width="9.140625" style="275"/>
    <col min="11022" max="11022" width="5.7109375" style="275" customWidth="1"/>
    <col min="11023" max="11023" width="6.85546875" style="275" customWidth="1"/>
    <col min="11024" max="11031" width="13.28515625" style="275" customWidth="1"/>
    <col min="11032" max="11032" width="0" style="275" hidden="1" customWidth="1"/>
    <col min="11033" max="11033" width="12.85546875" style="275" customWidth="1"/>
    <col min="11034" max="11034" width="13" style="275" customWidth="1"/>
    <col min="11035" max="11035" width="9.140625" style="275"/>
    <col min="11036" max="11052" width="0" style="275" hidden="1" customWidth="1"/>
    <col min="11053" max="11264" width="9.140625" style="275"/>
    <col min="11265" max="11265" width="3.85546875" style="275" customWidth="1"/>
    <col min="11266" max="11266" width="32.5703125" style="275" customWidth="1"/>
    <col min="11267" max="11267" width="16.140625" style="275" customWidth="1"/>
    <col min="11268" max="11269" width="12.5703125" style="275" customWidth="1"/>
    <col min="11270" max="11270" width="11.28515625" style="275" customWidth="1"/>
    <col min="11271" max="11273" width="12.5703125" style="275" customWidth="1"/>
    <col min="11274" max="11274" width="14.5703125" style="275" customWidth="1"/>
    <col min="11275" max="11275" width="13.28515625" style="275" customWidth="1"/>
    <col min="11276" max="11277" width="9.140625" style="275"/>
    <col min="11278" max="11278" width="5.7109375" style="275" customWidth="1"/>
    <col min="11279" max="11279" width="6.85546875" style="275" customWidth="1"/>
    <col min="11280" max="11287" width="13.28515625" style="275" customWidth="1"/>
    <col min="11288" max="11288" width="0" style="275" hidden="1" customWidth="1"/>
    <col min="11289" max="11289" width="12.85546875" style="275" customWidth="1"/>
    <col min="11290" max="11290" width="13" style="275" customWidth="1"/>
    <col min="11291" max="11291" width="9.140625" style="275"/>
    <col min="11292" max="11308" width="0" style="275" hidden="1" customWidth="1"/>
    <col min="11309" max="11520" width="9.140625" style="275"/>
    <col min="11521" max="11521" width="3.85546875" style="275" customWidth="1"/>
    <col min="11522" max="11522" width="32.5703125" style="275" customWidth="1"/>
    <col min="11523" max="11523" width="16.140625" style="275" customWidth="1"/>
    <col min="11524" max="11525" width="12.5703125" style="275" customWidth="1"/>
    <col min="11526" max="11526" width="11.28515625" style="275" customWidth="1"/>
    <col min="11527" max="11529" width="12.5703125" style="275" customWidth="1"/>
    <col min="11530" max="11530" width="14.5703125" style="275" customWidth="1"/>
    <col min="11531" max="11531" width="13.28515625" style="275" customWidth="1"/>
    <col min="11532" max="11533" width="9.140625" style="275"/>
    <col min="11534" max="11534" width="5.7109375" style="275" customWidth="1"/>
    <col min="11535" max="11535" width="6.85546875" style="275" customWidth="1"/>
    <col min="11536" max="11543" width="13.28515625" style="275" customWidth="1"/>
    <col min="11544" max="11544" width="0" style="275" hidden="1" customWidth="1"/>
    <col min="11545" max="11545" width="12.85546875" style="275" customWidth="1"/>
    <col min="11546" max="11546" width="13" style="275" customWidth="1"/>
    <col min="11547" max="11547" width="9.140625" style="275"/>
    <col min="11548" max="11564" width="0" style="275" hidden="1" customWidth="1"/>
    <col min="11565" max="11776" width="9.140625" style="275"/>
    <col min="11777" max="11777" width="3.85546875" style="275" customWidth="1"/>
    <col min="11778" max="11778" width="32.5703125" style="275" customWidth="1"/>
    <col min="11779" max="11779" width="16.140625" style="275" customWidth="1"/>
    <col min="11780" max="11781" width="12.5703125" style="275" customWidth="1"/>
    <col min="11782" max="11782" width="11.28515625" style="275" customWidth="1"/>
    <col min="11783" max="11785" width="12.5703125" style="275" customWidth="1"/>
    <col min="11786" max="11786" width="14.5703125" style="275" customWidth="1"/>
    <col min="11787" max="11787" width="13.28515625" style="275" customWidth="1"/>
    <col min="11788" max="11789" width="9.140625" style="275"/>
    <col min="11790" max="11790" width="5.7109375" style="275" customWidth="1"/>
    <col min="11791" max="11791" width="6.85546875" style="275" customWidth="1"/>
    <col min="11792" max="11799" width="13.28515625" style="275" customWidth="1"/>
    <col min="11800" max="11800" width="0" style="275" hidden="1" customWidth="1"/>
    <col min="11801" max="11801" width="12.85546875" style="275" customWidth="1"/>
    <col min="11802" max="11802" width="13" style="275" customWidth="1"/>
    <col min="11803" max="11803" width="9.140625" style="275"/>
    <col min="11804" max="11820" width="0" style="275" hidden="1" customWidth="1"/>
    <col min="11821" max="12032" width="9.140625" style="275"/>
    <col min="12033" max="12033" width="3.85546875" style="275" customWidth="1"/>
    <col min="12034" max="12034" width="32.5703125" style="275" customWidth="1"/>
    <col min="12035" max="12035" width="16.140625" style="275" customWidth="1"/>
    <col min="12036" max="12037" width="12.5703125" style="275" customWidth="1"/>
    <col min="12038" max="12038" width="11.28515625" style="275" customWidth="1"/>
    <col min="12039" max="12041" width="12.5703125" style="275" customWidth="1"/>
    <col min="12042" max="12042" width="14.5703125" style="275" customWidth="1"/>
    <col min="12043" max="12043" width="13.28515625" style="275" customWidth="1"/>
    <col min="12044" max="12045" width="9.140625" style="275"/>
    <col min="12046" max="12046" width="5.7109375" style="275" customWidth="1"/>
    <col min="12047" max="12047" width="6.85546875" style="275" customWidth="1"/>
    <col min="12048" max="12055" width="13.28515625" style="275" customWidth="1"/>
    <col min="12056" max="12056" width="0" style="275" hidden="1" customWidth="1"/>
    <col min="12057" max="12057" width="12.85546875" style="275" customWidth="1"/>
    <col min="12058" max="12058" width="13" style="275" customWidth="1"/>
    <col min="12059" max="12059" width="9.140625" style="275"/>
    <col min="12060" max="12076" width="0" style="275" hidden="1" customWidth="1"/>
    <col min="12077" max="12288" width="9.140625" style="275"/>
    <col min="12289" max="12289" width="3.85546875" style="275" customWidth="1"/>
    <col min="12290" max="12290" width="32.5703125" style="275" customWidth="1"/>
    <col min="12291" max="12291" width="16.140625" style="275" customWidth="1"/>
    <col min="12292" max="12293" width="12.5703125" style="275" customWidth="1"/>
    <col min="12294" max="12294" width="11.28515625" style="275" customWidth="1"/>
    <col min="12295" max="12297" width="12.5703125" style="275" customWidth="1"/>
    <col min="12298" max="12298" width="14.5703125" style="275" customWidth="1"/>
    <col min="12299" max="12299" width="13.28515625" style="275" customWidth="1"/>
    <col min="12300" max="12301" width="9.140625" style="275"/>
    <col min="12302" max="12302" width="5.7109375" style="275" customWidth="1"/>
    <col min="12303" max="12303" width="6.85546875" style="275" customWidth="1"/>
    <col min="12304" max="12311" width="13.28515625" style="275" customWidth="1"/>
    <col min="12312" max="12312" width="0" style="275" hidden="1" customWidth="1"/>
    <col min="12313" max="12313" width="12.85546875" style="275" customWidth="1"/>
    <col min="12314" max="12314" width="13" style="275" customWidth="1"/>
    <col min="12315" max="12315" width="9.140625" style="275"/>
    <col min="12316" max="12332" width="0" style="275" hidden="1" customWidth="1"/>
    <col min="12333" max="12544" width="9.140625" style="275"/>
    <col min="12545" max="12545" width="3.85546875" style="275" customWidth="1"/>
    <col min="12546" max="12546" width="32.5703125" style="275" customWidth="1"/>
    <col min="12547" max="12547" width="16.140625" style="275" customWidth="1"/>
    <col min="12548" max="12549" width="12.5703125" style="275" customWidth="1"/>
    <col min="12550" max="12550" width="11.28515625" style="275" customWidth="1"/>
    <col min="12551" max="12553" width="12.5703125" style="275" customWidth="1"/>
    <col min="12554" max="12554" width="14.5703125" style="275" customWidth="1"/>
    <col min="12555" max="12555" width="13.28515625" style="275" customWidth="1"/>
    <col min="12556" max="12557" width="9.140625" style="275"/>
    <col min="12558" max="12558" width="5.7109375" style="275" customWidth="1"/>
    <col min="12559" max="12559" width="6.85546875" style="275" customWidth="1"/>
    <col min="12560" max="12567" width="13.28515625" style="275" customWidth="1"/>
    <col min="12568" max="12568" width="0" style="275" hidden="1" customWidth="1"/>
    <col min="12569" max="12569" width="12.85546875" style="275" customWidth="1"/>
    <col min="12570" max="12570" width="13" style="275" customWidth="1"/>
    <col min="12571" max="12571" width="9.140625" style="275"/>
    <col min="12572" max="12588" width="0" style="275" hidden="1" customWidth="1"/>
    <col min="12589" max="12800" width="9.140625" style="275"/>
    <col min="12801" max="12801" width="3.85546875" style="275" customWidth="1"/>
    <col min="12802" max="12802" width="32.5703125" style="275" customWidth="1"/>
    <col min="12803" max="12803" width="16.140625" style="275" customWidth="1"/>
    <col min="12804" max="12805" width="12.5703125" style="275" customWidth="1"/>
    <col min="12806" max="12806" width="11.28515625" style="275" customWidth="1"/>
    <col min="12807" max="12809" width="12.5703125" style="275" customWidth="1"/>
    <col min="12810" max="12810" width="14.5703125" style="275" customWidth="1"/>
    <col min="12811" max="12811" width="13.28515625" style="275" customWidth="1"/>
    <col min="12812" max="12813" width="9.140625" style="275"/>
    <col min="12814" max="12814" width="5.7109375" style="275" customWidth="1"/>
    <col min="12815" max="12815" width="6.85546875" style="275" customWidth="1"/>
    <col min="12816" max="12823" width="13.28515625" style="275" customWidth="1"/>
    <col min="12824" max="12824" width="0" style="275" hidden="1" customWidth="1"/>
    <col min="12825" max="12825" width="12.85546875" style="275" customWidth="1"/>
    <col min="12826" max="12826" width="13" style="275" customWidth="1"/>
    <col min="12827" max="12827" width="9.140625" style="275"/>
    <col min="12828" max="12844" width="0" style="275" hidden="1" customWidth="1"/>
    <col min="12845" max="13056" width="9.140625" style="275"/>
    <col min="13057" max="13057" width="3.85546875" style="275" customWidth="1"/>
    <col min="13058" max="13058" width="32.5703125" style="275" customWidth="1"/>
    <col min="13059" max="13059" width="16.140625" style="275" customWidth="1"/>
    <col min="13060" max="13061" width="12.5703125" style="275" customWidth="1"/>
    <col min="13062" max="13062" width="11.28515625" style="275" customWidth="1"/>
    <col min="13063" max="13065" width="12.5703125" style="275" customWidth="1"/>
    <col min="13066" max="13066" width="14.5703125" style="275" customWidth="1"/>
    <col min="13067" max="13067" width="13.28515625" style="275" customWidth="1"/>
    <col min="13068" max="13069" width="9.140625" style="275"/>
    <col min="13070" max="13070" width="5.7109375" style="275" customWidth="1"/>
    <col min="13071" max="13071" width="6.85546875" style="275" customWidth="1"/>
    <col min="13072" max="13079" width="13.28515625" style="275" customWidth="1"/>
    <col min="13080" max="13080" width="0" style="275" hidden="1" customWidth="1"/>
    <col min="13081" max="13081" width="12.85546875" style="275" customWidth="1"/>
    <col min="13082" max="13082" width="13" style="275" customWidth="1"/>
    <col min="13083" max="13083" width="9.140625" style="275"/>
    <col min="13084" max="13100" width="0" style="275" hidden="1" customWidth="1"/>
    <col min="13101" max="13312" width="9.140625" style="275"/>
    <col min="13313" max="13313" width="3.85546875" style="275" customWidth="1"/>
    <col min="13314" max="13314" width="32.5703125" style="275" customWidth="1"/>
    <col min="13315" max="13315" width="16.140625" style="275" customWidth="1"/>
    <col min="13316" max="13317" width="12.5703125" style="275" customWidth="1"/>
    <col min="13318" max="13318" width="11.28515625" style="275" customWidth="1"/>
    <col min="13319" max="13321" width="12.5703125" style="275" customWidth="1"/>
    <col min="13322" max="13322" width="14.5703125" style="275" customWidth="1"/>
    <col min="13323" max="13323" width="13.28515625" style="275" customWidth="1"/>
    <col min="13324" max="13325" width="9.140625" style="275"/>
    <col min="13326" max="13326" width="5.7109375" style="275" customWidth="1"/>
    <col min="13327" max="13327" width="6.85546875" style="275" customWidth="1"/>
    <col min="13328" max="13335" width="13.28515625" style="275" customWidth="1"/>
    <col min="13336" max="13336" width="0" style="275" hidden="1" customWidth="1"/>
    <col min="13337" max="13337" width="12.85546875" style="275" customWidth="1"/>
    <col min="13338" max="13338" width="13" style="275" customWidth="1"/>
    <col min="13339" max="13339" width="9.140625" style="275"/>
    <col min="13340" max="13356" width="0" style="275" hidden="1" customWidth="1"/>
    <col min="13357" max="13568" width="9.140625" style="275"/>
    <col min="13569" max="13569" width="3.85546875" style="275" customWidth="1"/>
    <col min="13570" max="13570" width="32.5703125" style="275" customWidth="1"/>
    <col min="13571" max="13571" width="16.140625" style="275" customWidth="1"/>
    <col min="13572" max="13573" width="12.5703125" style="275" customWidth="1"/>
    <col min="13574" max="13574" width="11.28515625" style="275" customWidth="1"/>
    <col min="13575" max="13577" width="12.5703125" style="275" customWidth="1"/>
    <col min="13578" max="13578" width="14.5703125" style="275" customWidth="1"/>
    <col min="13579" max="13579" width="13.28515625" style="275" customWidth="1"/>
    <col min="13580" max="13581" width="9.140625" style="275"/>
    <col min="13582" max="13582" width="5.7109375" style="275" customWidth="1"/>
    <col min="13583" max="13583" width="6.85546875" style="275" customWidth="1"/>
    <col min="13584" max="13591" width="13.28515625" style="275" customWidth="1"/>
    <col min="13592" max="13592" width="0" style="275" hidden="1" customWidth="1"/>
    <col min="13593" max="13593" width="12.85546875" style="275" customWidth="1"/>
    <col min="13594" max="13594" width="13" style="275" customWidth="1"/>
    <col min="13595" max="13595" width="9.140625" style="275"/>
    <col min="13596" max="13612" width="0" style="275" hidden="1" customWidth="1"/>
    <col min="13613" max="13824" width="9.140625" style="275"/>
    <col min="13825" max="13825" width="3.85546875" style="275" customWidth="1"/>
    <col min="13826" max="13826" width="32.5703125" style="275" customWidth="1"/>
    <col min="13827" max="13827" width="16.140625" style="275" customWidth="1"/>
    <col min="13828" max="13829" width="12.5703125" style="275" customWidth="1"/>
    <col min="13830" max="13830" width="11.28515625" style="275" customWidth="1"/>
    <col min="13831" max="13833" width="12.5703125" style="275" customWidth="1"/>
    <col min="13834" max="13834" width="14.5703125" style="275" customWidth="1"/>
    <col min="13835" max="13835" width="13.28515625" style="275" customWidth="1"/>
    <col min="13836" max="13837" width="9.140625" style="275"/>
    <col min="13838" max="13838" width="5.7109375" style="275" customWidth="1"/>
    <col min="13839" max="13839" width="6.85546875" style="275" customWidth="1"/>
    <col min="13840" max="13847" width="13.28515625" style="275" customWidth="1"/>
    <col min="13848" max="13848" width="0" style="275" hidden="1" customWidth="1"/>
    <col min="13849" max="13849" width="12.85546875" style="275" customWidth="1"/>
    <col min="13850" max="13850" width="13" style="275" customWidth="1"/>
    <col min="13851" max="13851" width="9.140625" style="275"/>
    <col min="13852" max="13868" width="0" style="275" hidden="1" customWidth="1"/>
    <col min="13869" max="14080" width="9.140625" style="275"/>
    <col min="14081" max="14081" width="3.85546875" style="275" customWidth="1"/>
    <col min="14082" max="14082" width="32.5703125" style="275" customWidth="1"/>
    <col min="14083" max="14083" width="16.140625" style="275" customWidth="1"/>
    <col min="14084" max="14085" width="12.5703125" style="275" customWidth="1"/>
    <col min="14086" max="14086" width="11.28515625" style="275" customWidth="1"/>
    <col min="14087" max="14089" width="12.5703125" style="275" customWidth="1"/>
    <col min="14090" max="14090" width="14.5703125" style="275" customWidth="1"/>
    <col min="14091" max="14091" width="13.28515625" style="275" customWidth="1"/>
    <col min="14092" max="14093" width="9.140625" style="275"/>
    <col min="14094" max="14094" width="5.7109375" style="275" customWidth="1"/>
    <col min="14095" max="14095" width="6.85546875" style="275" customWidth="1"/>
    <col min="14096" max="14103" width="13.28515625" style="275" customWidth="1"/>
    <col min="14104" max="14104" width="0" style="275" hidden="1" customWidth="1"/>
    <col min="14105" max="14105" width="12.85546875" style="275" customWidth="1"/>
    <col min="14106" max="14106" width="13" style="275" customWidth="1"/>
    <col min="14107" max="14107" width="9.140625" style="275"/>
    <col min="14108" max="14124" width="0" style="275" hidden="1" customWidth="1"/>
    <col min="14125" max="14336" width="9.140625" style="275"/>
    <col min="14337" max="14337" width="3.85546875" style="275" customWidth="1"/>
    <col min="14338" max="14338" width="32.5703125" style="275" customWidth="1"/>
    <col min="14339" max="14339" width="16.140625" style="275" customWidth="1"/>
    <col min="14340" max="14341" width="12.5703125" style="275" customWidth="1"/>
    <col min="14342" max="14342" width="11.28515625" style="275" customWidth="1"/>
    <col min="14343" max="14345" width="12.5703125" style="275" customWidth="1"/>
    <col min="14346" max="14346" width="14.5703125" style="275" customWidth="1"/>
    <col min="14347" max="14347" width="13.28515625" style="275" customWidth="1"/>
    <col min="14348" max="14349" width="9.140625" style="275"/>
    <col min="14350" max="14350" width="5.7109375" style="275" customWidth="1"/>
    <col min="14351" max="14351" width="6.85546875" style="275" customWidth="1"/>
    <col min="14352" max="14359" width="13.28515625" style="275" customWidth="1"/>
    <col min="14360" max="14360" width="0" style="275" hidden="1" customWidth="1"/>
    <col min="14361" max="14361" width="12.85546875" style="275" customWidth="1"/>
    <col min="14362" max="14362" width="13" style="275" customWidth="1"/>
    <col min="14363" max="14363" width="9.140625" style="275"/>
    <col min="14364" max="14380" width="0" style="275" hidden="1" customWidth="1"/>
    <col min="14381" max="14592" width="9.140625" style="275"/>
    <col min="14593" max="14593" width="3.85546875" style="275" customWidth="1"/>
    <col min="14594" max="14594" width="32.5703125" style="275" customWidth="1"/>
    <col min="14595" max="14595" width="16.140625" style="275" customWidth="1"/>
    <col min="14596" max="14597" width="12.5703125" style="275" customWidth="1"/>
    <col min="14598" max="14598" width="11.28515625" style="275" customWidth="1"/>
    <col min="14599" max="14601" width="12.5703125" style="275" customWidth="1"/>
    <col min="14602" max="14602" width="14.5703125" style="275" customWidth="1"/>
    <col min="14603" max="14603" width="13.28515625" style="275" customWidth="1"/>
    <col min="14604" max="14605" width="9.140625" style="275"/>
    <col min="14606" max="14606" width="5.7109375" style="275" customWidth="1"/>
    <col min="14607" max="14607" width="6.85546875" style="275" customWidth="1"/>
    <col min="14608" max="14615" width="13.28515625" style="275" customWidth="1"/>
    <col min="14616" max="14616" width="0" style="275" hidden="1" customWidth="1"/>
    <col min="14617" max="14617" width="12.85546875" style="275" customWidth="1"/>
    <col min="14618" max="14618" width="13" style="275" customWidth="1"/>
    <col min="14619" max="14619" width="9.140625" style="275"/>
    <col min="14620" max="14636" width="0" style="275" hidden="1" customWidth="1"/>
    <col min="14637" max="14848" width="9.140625" style="275"/>
    <col min="14849" max="14849" width="3.85546875" style="275" customWidth="1"/>
    <col min="14850" max="14850" width="32.5703125" style="275" customWidth="1"/>
    <col min="14851" max="14851" width="16.140625" style="275" customWidth="1"/>
    <col min="14852" max="14853" width="12.5703125" style="275" customWidth="1"/>
    <col min="14854" max="14854" width="11.28515625" style="275" customWidth="1"/>
    <col min="14855" max="14857" width="12.5703125" style="275" customWidth="1"/>
    <col min="14858" max="14858" width="14.5703125" style="275" customWidth="1"/>
    <col min="14859" max="14859" width="13.28515625" style="275" customWidth="1"/>
    <col min="14860" max="14861" width="9.140625" style="275"/>
    <col min="14862" max="14862" width="5.7109375" style="275" customWidth="1"/>
    <col min="14863" max="14863" width="6.85546875" style="275" customWidth="1"/>
    <col min="14864" max="14871" width="13.28515625" style="275" customWidth="1"/>
    <col min="14872" max="14872" width="0" style="275" hidden="1" customWidth="1"/>
    <col min="14873" max="14873" width="12.85546875" style="275" customWidth="1"/>
    <col min="14874" max="14874" width="13" style="275" customWidth="1"/>
    <col min="14875" max="14875" width="9.140625" style="275"/>
    <col min="14876" max="14892" width="0" style="275" hidden="1" customWidth="1"/>
    <col min="14893" max="15104" width="9.140625" style="275"/>
    <col min="15105" max="15105" width="3.85546875" style="275" customWidth="1"/>
    <col min="15106" max="15106" width="32.5703125" style="275" customWidth="1"/>
    <col min="15107" max="15107" width="16.140625" style="275" customWidth="1"/>
    <col min="15108" max="15109" width="12.5703125" style="275" customWidth="1"/>
    <col min="15110" max="15110" width="11.28515625" style="275" customWidth="1"/>
    <col min="15111" max="15113" width="12.5703125" style="275" customWidth="1"/>
    <col min="15114" max="15114" width="14.5703125" style="275" customWidth="1"/>
    <col min="15115" max="15115" width="13.28515625" style="275" customWidth="1"/>
    <col min="15116" max="15117" width="9.140625" style="275"/>
    <col min="15118" max="15118" width="5.7109375" style="275" customWidth="1"/>
    <col min="15119" max="15119" width="6.85546875" style="275" customWidth="1"/>
    <col min="15120" max="15127" width="13.28515625" style="275" customWidth="1"/>
    <col min="15128" max="15128" width="0" style="275" hidden="1" customWidth="1"/>
    <col min="15129" max="15129" width="12.85546875" style="275" customWidth="1"/>
    <col min="15130" max="15130" width="13" style="275" customWidth="1"/>
    <col min="15131" max="15131" width="9.140625" style="275"/>
    <col min="15132" max="15148" width="0" style="275" hidden="1" customWidth="1"/>
    <col min="15149" max="15360" width="9.140625" style="275"/>
    <col min="15361" max="15361" width="3.85546875" style="275" customWidth="1"/>
    <col min="15362" max="15362" width="32.5703125" style="275" customWidth="1"/>
    <col min="15363" max="15363" width="16.140625" style="275" customWidth="1"/>
    <col min="15364" max="15365" width="12.5703125" style="275" customWidth="1"/>
    <col min="15366" max="15366" width="11.28515625" style="275" customWidth="1"/>
    <col min="15367" max="15369" width="12.5703125" style="275" customWidth="1"/>
    <col min="15370" max="15370" width="14.5703125" style="275" customWidth="1"/>
    <col min="15371" max="15371" width="13.28515625" style="275" customWidth="1"/>
    <col min="15372" max="15373" width="9.140625" style="275"/>
    <col min="15374" max="15374" width="5.7109375" style="275" customWidth="1"/>
    <col min="15375" max="15375" width="6.85546875" style="275" customWidth="1"/>
    <col min="15376" max="15383" width="13.28515625" style="275" customWidth="1"/>
    <col min="15384" max="15384" width="0" style="275" hidden="1" customWidth="1"/>
    <col min="15385" max="15385" width="12.85546875" style="275" customWidth="1"/>
    <col min="15386" max="15386" width="13" style="275" customWidth="1"/>
    <col min="15387" max="15387" width="9.140625" style="275"/>
    <col min="15388" max="15404" width="0" style="275" hidden="1" customWidth="1"/>
    <col min="15405" max="15616" width="9.140625" style="275"/>
    <col min="15617" max="15617" width="3.85546875" style="275" customWidth="1"/>
    <col min="15618" max="15618" width="32.5703125" style="275" customWidth="1"/>
    <col min="15619" max="15619" width="16.140625" style="275" customWidth="1"/>
    <col min="15620" max="15621" width="12.5703125" style="275" customWidth="1"/>
    <col min="15622" max="15622" width="11.28515625" style="275" customWidth="1"/>
    <col min="15623" max="15625" width="12.5703125" style="275" customWidth="1"/>
    <col min="15626" max="15626" width="14.5703125" style="275" customWidth="1"/>
    <col min="15627" max="15627" width="13.28515625" style="275" customWidth="1"/>
    <col min="15628" max="15629" width="9.140625" style="275"/>
    <col min="15630" max="15630" width="5.7109375" style="275" customWidth="1"/>
    <col min="15631" max="15631" width="6.85546875" style="275" customWidth="1"/>
    <col min="15632" max="15639" width="13.28515625" style="275" customWidth="1"/>
    <col min="15640" max="15640" width="0" style="275" hidden="1" customWidth="1"/>
    <col min="15641" max="15641" width="12.85546875" style="275" customWidth="1"/>
    <col min="15642" max="15642" width="13" style="275" customWidth="1"/>
    <col min="15643" max="15643" width="9.140625" style="275"/>
    <col min="15644" max="15660" width="0" style="275" hidden="1" customWidth="1"/>
    <col min="15661" max="15872" width="9.140625" style="275"/>
    <col min="15873" max="15873" width="3.85546875" style="275" customWidth="1"/>
    <col min="15874" max="15874" width="32.5703125" style="275" customWidth="1"/>
    <col min="15875" max="15875" width="16.140625" style="275" customWidth="1"/>
    <col min="15876" max="15877" width="12.5703125" style="275" customWidth="1"/>
    <col min="15878" max="15878" width="11.28515625" style="275" customWidth="1"/>
    <col min="15879" max="15881" width="12.5703125" style="275" customWidth="1"/>
    <col min="15882" max="15882" width="14.5703125" style="275" customWidth="1"/>
    <col min="15883" max="15883" width="13.28515625" style="275" customWidth="1"/>
    <col min="15884" max="15885" width="9.140625" style="275"/>
    <col min="15886" max="15886" width="5.7109375" style="275" customWidth="1"/>
    <col min="15887" max="15887" width="6.85546875" style="275" customWidth="1"/>
    <col min="15888" max="15895" width="13.28515625" style="275" customWidth="1"/>
    <col min="15896" max="15896" width="0" style="275" hidden="1" customWidth="1"/>
    <col min="15897" max="15897" width="12.85546875" style="275" customWidth="1"/>
    <col min="15898" max="15898" width="13" style="275" customWidth="1"/>
    <col min="15899" max="15899" width="9.140625" style="275"/>
    <col min="15900" max="15916" width="0" style="275" hidden="1" customWidth="1"/>
    <col min="15917" max="16128" width="9.140625" style="275"/>
    <col min="16129" max="16129" width="3.85546875" style="275" customWidth="1"/>
    <col min="16130" max="16130" width="32.5703125" style="275" customWidth="1"/>
    <col min="16131" max="16131" width="16.140625" style="275" customWidth="1"/>
    <col min="16132" max="16133" width="12.5703125" style="275" customWidth="1"/>
    <col min="16134" max="16134" width="11.28515625" style="275" customWidth="1"/>
    <col min="16135" max="16137" width="12.5703125" style="275" customWidth="1"/>
    <col min="16138" max="16138" width="14.5703125" style="275" customWidth="1"/>
    <col min="16139" max="16139" width="13.28515625" style="275" customWidth="1"/>
    <col min="16140" max="16141" width="9.140625" style="275"/>
    <col min="16142" max="16142" width="5.7109375" style="275" customWidth="1"/>
    <col min="16143" max="16143" width="6.85546875" style="275" customWidth="1"/>
    <col min="16144" max="16151" width="13.28515625" style="275" customWidth="1"/>
    <col min="16152" max="16152" width="0" style="275" hidden="1" customWidth="1"/>
    <col min="16153" max="16153" width="12.85546875" style="275" customWidth="1"/>
    <col min="16154" max="16154" width="13" style="275" customWidth="1"/>
    <col min="16155" max="16155" width="9.140625" style="275"/>
    <col min="16156" max="16172" width="0" style="275" hidden="1" customWidth="1"/>
    <col min="16173" max="16384" width="9.140625" style="275"/>
  </cols>
  <sheetData>
    <row r="1" spans="2:15" ht="13.5" thickBot="1" x14ac:dyDescent="0.25"/>
    <row r="2" spans="2:15" ht="15.75" thickBot="1" x14ac:dyDescent="0.3">
      <c r="B2" s="276" t="s">
        <v>170</v>
      </c>
      <c r="C2" s="1014" t="s">
        <v>768</v>
      </c>
      <c r="D2" s="1015"/>
      <c r="E2" s="1015"/>
      <c r="F2" s="1016"/>
    </row>
    <row r="4" spans="2:15" ht="15" hidden="1" x14ac:dyDescent="0.25">
      <c r="B4" s="277" t="s">
        <v>171</v>
      </c>
      <c r="C4" s="276"/>
      <c r="D4" s="1017" t="s">
        <v>172</v>
      </c>
      <c r="E4" s="1017"/>
      <c r="F4" s="1017"/>
      <c r="G4" s="1017"/>
      <c r="H4" s="1017"/>
      <c r="I4" s="1017"/>
      <c r="J4" s="1017"/>
      <c r="K4" s="1017"/>
      <c r="L4" s="1017"/>
      <c r="M4" s="1017"/>
      <c r="N4" s="1017"/>
      <c r="O4" s="1017"/>
    </row>
    <row r="5" spans="2:15" hidden="1" x14ac:dyDescent="0.2"/>
    <row r="6" spans="2:15" ht="15" hidden="1" x14ac:dyDescent="0.25">
      <c r="B6" s="276" t="s">
        <v>173</v>
      </c>
      <c r="C6" s="276"/>
      <c r="D6" s="278" t="s">
        <v>174</v>
      </c>
      <c r="E6" s="278" t="s">
        <v>175</v>
      </c>
      <c r="F6" s="279"/>
      <c r="H6" s="280" t="s">
        <v>176</v>
      </c>
    </row>
    <row r="7" spans="2:15" hidden="1" x14ac:dyDescent="0.2">
      <c r="F7" s="281"/>
      <c r="H7" s="1018" t="s">
        <v>177</v>
      </c>
      <c r="I7" s="1019"/>
      <c r="J7" s="1019"/>
      <c r="K7" s="1019"/>
      <c r="L7" s="1019"/>
      <c r="M7" s="1019"/>
      <c r="N7" s="1019"/>
      <c r="O7" s="1020"/>
    </row>
    <row r="8" spans="2:15" ht="15" hidden="1" x14ac:dyDescent="0.25">
      <c r="B8" s="282" t="s">
        <v>178</v>
      </c>
      <c r="C8" s="283" t="s">
        <v>179</v>
      </c>
      <c r="D8" s="284">
        <f>SUM(D9:D10)</f>
        <v>0</v>
      </c>
      <c r="E8" s="284">
        <f>SUM(E9:E10)</f>
        <v>0</v>
      </c>
      <c r="F8" s="285"/>
      <c r="H8" s="1021"/>
      <c r="I8" s="1022"/>
      <c r="J8" s="1022"/>
      <c r="K8" s="1022"/>
      <c r="L8" s="1022"/>
      <c r="M8" s="1022"/>
      <c r="N8" s="1022"/>
      <c r="O8" s="1023"/>
    </row>
    <row r="9" spans="2:15" hidden="1" x14ac:dyDescent="0.2">
      <c r="B9" s="286" t="s">
        <v>180</v>
      </c>
      <c r="C9" s="283" t="s">
        <v>179</v>
      </c>
      <c r="D9" s="287"/>
      <c r="E9" s="287"/>
      <c r="F9" s="285"/>
      <c r="H9" s="1021"/>
      <c r="I9" s="1022"/>
      <c r="J9" s="1022"/>
      <c r="K9" s="1022"/>
      <c r="L9" s="1022"/>
      <c r="M9" s="1022"/>
      <c r="N9" s="1022"/>
      <c r="O9" s="1023"/>
    </row>
    <row r="10" spans="2:15" hidden="1" x14ac:dyDescent="0.2">
      <c r="B10" s="286" t="s">
        <v>181</v>
      </c>
      <c r="C10" s="283" t="s">
        <v>179</v>
      </c>
      <c r="D10" s="287"/>
      <c r="E10" s="287"/>
      <c r="F10" s="285"/>
      <c r="H10" s="1024"/>
      <c r="I10" s="1025"/>
      <c r="J10" s="1025"/>
      <c r="K10" s="1025"/>
      <c r="L10" s="1025"/>
      <c r="M10" s="1025"/>
      <c r="N10" s="1025"/>
      <c r="O10" s="1026"/>
    </row>
    <row r="11" spans="2:15" hidden="1" x14ac:dyDescent="0.2">
      <c r="F11" s="281"/>
    </row>
    <row r="12" spans="2:15" ht="15" hidden="1" x14ac:dyDescent="0.25">
      <c r="B12" s="282" t="s">
        <v>182</v>
      </c>
      <c r="C12" s="283" t="s">
        <v>183</v>
      </c>
      <c r="D12" s="288"/>
      <c r="E12" s="288"/>
      <c r="F12" s="289"/>
      <c r="H12" s="280" t="s">
        <v>184</v>
      </c>
    </row>
    <row r="13" spans="2:15" hidden="1" x14ac:dyDescent="0.2">
      <c r="F13" s="281"/>
      <c r="H13" s="1018" t="s">
        <v>185</v>
      </c>
      <c r="I13" s="1019"/>
      <c r="J13" s="1019"/>
      <c r="K13" s="1019"/>
      <c r="L13" s="1019"/>
      <c r="M13" s="1019"/>
      <c r="N13" s="1019"/>
      <c r="O13" s="1020"/>
    </row>
    <row r="14" spans="2:15" ht="15" hidden="1" x14ac:dyDescent="0.25">
      <c r="B14" s="276" t="s">
        <v>186</v>
      </c>
      <c r="C14" s="276"/>
      <c r="F14" s="281"/>
      <c r="H14" s="1021"/>
      <c r="I14" s="1022"/>
      <c r="J14" s="1022"/>
      <c r="K14" s="1022"/>
      <c r="L14" s="1022"/>
      <c r="M14" s="1022"/>
      <c r="N14" s="1022"/>
      <c r="O14" s="1023"/>
    </row>
    <row r="15" spans="2:15" hidden="1" x14ac:dyDescent="0.2">
      <c r="B15" s="286" t="s">
        <v>187</v>
      </c>
      <c r="C15" s="283" t="s">
        <v>179</v>
      </c>
      <c r="D15" s="287">
        <f>D23/3.5</f>
        <v>0</v>
      </c>
      <c r="E15" s="287">
        <f>E23/3.5</f>
        <v>0</v>
      </c>
      <c r="F15" s="285"/>
      <c r="H15" s="1021"/>
      <c r="I15" s="1022"/>
      <c r="J15" s="1022"/>
      <c r="K15" s="1022"/>
      <c r="L15" s="1022"/>
      <c r="M15" s="1022"/>
      <c r="N15" s="1022"/>
      <c r="O15" s="1023"/>
    </row>
    <row r="16" spans="2:15" hidden="1" x14ac:dyDescent="0.2">
      <c r="B16" s="286" t="s">
        <v>188</v>
      </c>
      <c r="C16" s="283" t="s">
        <v>179</v>
      </c>
      <c r="D16" s="284">
        <f>D17*(D18+D19)*12</f>
        <v>0</v>
      </c>
      <c r="E16" s="284">
        <f>E17*(E18+E19)*12</f>
        <v>0</v>
      </c>
      <c r="F16" s="285"/>
      <c r="H16" s="1024"/>
      <c r="I16" s="1025"/>
      <c r="J16" s="1025"/>
      <c r="K16" s="1025"/>
      <c r="L16" s="1025"/>
      <c r="M16" s="1025"/>
      <c r="N16" s="1025"/>
      <c r="O16" s="1026"/>
    </row>
    <row r="17" spans="2:15" hidden="1" x14ac:dyDescent="0.2">
      <c r="B17" s="290" t="s">
        <v>189</v>
      </c>
      <c r="C17" s="283" t="s">
        <v>190</v>
      </c>
      <c r="D17" s="287"/>
      <c r="E17" s="287"/>
      <c r="F17" s="285"/>
    </row>
    <row r="18" spans="2:15" ht="15" hidden="1" x14ac:dyDescent="0.25">
      <c r="B18" s="290" t="s">
        <v>191</v>
      </c>
      <c r="C18" s="283" t="s">
        <v>192</v>
      </c>
      <c r="D18" s="291">
        <v>400</v>
      </c>
      <c r="E18" s="291">
        <v>400</v>
      </c>
      <c r="F18" s="285"/>
      <c r="G18" s="292"/>
      <c r="H18" s="293"/>
      <c r="I18" s="292"/>
      <c r="J18" s="292"/>
      <c r="K18" s="292"/>
      <c r="L18" s="292"/>
      <c r="M18" s="292"/>
      <c r="N18" s="292"/>
      <c r="O18" s="292"/>
    </row>
    <row r="19" spans="2:15" hidden="1" x14ac:dyDescent="0.2">
      <c r="B19" s="290" t="s">
        <v>193</v>
      </c>
      <c r="C19" s="283" t="s">
        <v>192</v>
      </c>
      <c r="D19" s="291">
        <f>D18*0.31</f>
        <v>124</v>
      </c>
      <c r="E19" s="291">
        <f>E18*0.31</f>
        <v>124</v>
      </c>
      <c r="F19" s="285"/>
      <c r="G19" s="292"/>
      <c r="H19" s="294"/>
      <c r="I19" s="294"/>
      <c r="J19" s="294"/>
      <c r="K19" s="294"/>
      <c r="L19" s="294"/>
      <c r="M19" s="294"/>
      <c r="N19" s="294"/>
      <c r="O19" s="294"/>
    </row>
    <row r="20" spans="2:15" hidden="1" x14ac:dyDescent="0.2">
      <c r="B20" s="295" t="s">
        <v>194</v>
      </c>
      <c r="C20" s="283" t="s">
        <v>179</v>
      </c>
      <c r="D20" s="284">
        <f>D21*D22</f>
        <v>0</v>
      </c>
      <c r="E20" s="284">
        <f>E21*E22</f>
        <v>0</v>
      </c>
      <c r="F20" s="285"/>
      <c r="G20" s="292"/>
      <c r="H20" s="294"/>
      <c r="I20" s="294"/>
      <c r="J20" s="294"/>
      <c r="K20" s="294"/>
      <c r="L20" s="294"/>
      <c r="M20" s="294"/>
      <c r="N20" s="294"/>
      <c r="O20" s="294"/>
    </row>
    <row r="21" spans="2:15" hidden="1" x14ac:dyDescent="0.2">
      <c r="B21" s="290" t="s">
        <v>195</v>
      </c>
      <c r="C21" s="296" t="s">
        <v>196</v>
      </c>
      <c r="D21" s="287"/>
      <c r="E21" s="287"/>
      <c r="F21" s="285"/>
      <c r="G21" s="292"/>
      <c r="H21" s="294"/>
      <c r="I21" s="294"/>
      <c r="J21" s="294"/>
      <c r="K21" s="294"/>
      <c r="L21" s="294"/>
      <c r="M21" s="294"/>
      <c r="N21" s="294"/>
      <c r="O21" s="294"/>
    </row>
    <row r="22" spans="2:15" hidden="1" x14ac:dyDescent="0.2">
      <c r="B22" s="290" t="s">
        <v>197</v>
      </c>
      <c r="C22" s="296" t="s">
        <v>198</v>
      </c>
      <c r="D22" s="297">
        <v>0.11</v>
      </c>
      <c r="E22" s="297">
        <f>D22</f>
        <v>0.11</v>
      </c>
      <c r="F22" s="298"/>
      <c r="G22" s="292"/>
      <c r="H22" s="294"/>
      <c r="I22" s="294"/>
      <c r="J22" s="294"/>
      <c r="K22" s="294"/>
      <c r="L22" s="294"/>
      <c r="M22" s="294"/>
      <c r="N22" s="294"/>
      <c r="O22" s="294"/>
    </row>
    <row r="23" spans="2:15" hidden="1" x14ac:dyDescent="0.2">
      <c r="B23" s="286" t="s">
        <v>199</v>
      </c>
      <c r="C23" s="283" t="s">
        <v>179</v>
      </c>
      <c r="D23" s="284">
        <f>D9*D24+D10*D25</f>
        <v>0</v>
      </c>
      <c r="E23" s="284">
        <f>E9*E24+E10*E25</f>
        <v>0</v>
      </c>
      <c r="F23" s="285"/>
    </row>
    <row r="24" spans="2:15" hidden="1" x14ac:dyDescent="0.2">
      <c r="B24" s="290" t="s">
        <v>200</v>
      </c>
      <c r="C24" s="283" t="s">
        <v>201</v>
      </c>
      <c r="D24" s="299">
        <v>5.0000000000000001E-3</v>
      </c>
      <c r="E24" s="299">
        <v>5.0000000000000001E-3</v>
      </c>
      <c r="F24" s="300"/>
    </row>
    <row r="25" spans="2:15" hidden="1" x14ac:dyDescent="0.2">
      <c r="B25" s="290" t="s">
        <v>202</v>
      </c>
      <c r="C25" s="296" t="s">
        <v>201</v>
      </c>
      <c r="D25" s="299">
        <v>1.4999999999999999E-2</v>
      </c>
      <c r="E25" s="299">
        <v>1.4999999999999999E-2</v>
      </c>
      <c r="F25" s="300"/>
    </row>
    <row r="26" spans="2:15" ht="15" hidden="1" x14ac:dyDescent="0.25">
      <c r="B26" s="301" t="s">
        <v>203</v>
      </c>
      <c r="C26" s="302" t="s">
        <v>179</v>
      </c>
      <c r="D26" s="303">
        <f>D15+D16+D20+D23</f>
        <v>0</v>
      </c>
      <c r="E26" s="303">
        <f>E15+E16+E20+E23</f>
        <v>0</v>
      </c>
      <c r="F26" s="304"/>
      <c r="H26" s="1027" t="s">
        <v>204</v>
      </c>
      <c r="I26" s="1027"/>
      <c r="J26" s="1027"/>
      <c r="K26" s="1028"/>
      <c r="L26" s="1029" t="s">
        <v>174</v>
      </c>
      <c r="M26" s="1030"/>
      <c r="N26" s="1030"/>
      <c r="O26" s="1031"/>
    </row>
    <row r="27" spans="2:15" hidden="1" x14ac:dyDescent="0.2">
      <c r="D27" s="305"/>
      <c r="E27" s="305"/>
      <c r="F27" s="305"/>
    </row>
    <row r="28" spans="2:15" s="306" customFormat="1" hidden="1" x14ac:dyDescent="0.2">
      <c r="D28" s="307"/>
      <c r="E28" s="307"/>
      <c r="F28" s="307"/>
    </row>
    <row r="29" spans="2:15" hidden="1" x14ac:dyDescent="0.2">
      <c r="D29" s="305"/>
      <c r="E29" s="305"/>
      <c r="F29" s="305"/>
    </row>
    <row r="30" spans="2:15" ht="15" hidden="1" x14ac:dyDescent="0.25">
      <c r="B30" s="276" t="s">
        <v>205</v>
      </c>
      <c r="C30" s="276"/>
      <c r="D30" s="278" t="s">
        <v>174</v>
      </c>
      <c r="E30" s="278" t="s">
        <v>175</v>
      </c>
      <c r="F30" s="278" t="s">
        <v>206</v>
      </c>
      <c r="H30" s="280" t="s">
        <v>176</v>
      </c>
    </row>
    <row r="31" spans="2:15" hidden="1" x14ac:dyDescent="0.2">
      <c r="H31" s="1018"/>
      <c r="I31" s="1019"/>
      <c r="J31" s="1019"/>
      <c r="K31" s="1019"/>
      <c r="L31" s="1019"/>
      <c r="M31" s="1019"/>
      <c r="N31" s="1019"/>
      <c r="O31" s="1020"/>
    </row>
    <row r="32" spans="2:15" ht="15" hidden="1" x14ac:dyDescent="0.25">
      <c r="B32" s="282" t="s">
        <v>178</v>
      </c>
      <c r="C32" s="283" t="s">
        <v>179</v>
      </c>
      <c r="D32" s="284">
        <f>SUM(D33:D34)</f>
        <v>0</v>
      </c>
      <c r="E32" s="284">
        <f>SUM(E33:E34)</f>
        <v>0</v>
      </c>
      <c r="F32" s="284">
        <f>SUM(F33:F34)</f>
        <v>0</v>
      </c>
      <c r="H32" s="1021"/>
      <c r="I32" s="1022"/>
      <c r="J32" s="1022"/>
      <c r="K32" s="1022"/>
      <c r="L32" s="1022"/>
      <c r="M32" s="1022"/>
      <c r="N32" s="1022"/>
      <c r="O32" s="1023"/>
    </row>
    <row r="33" spans="2:15" hidden="1" x14ac:dyDescent="0.2">
      <c r="B33" s="286" t="s">
        <v>180</v>
      </c>
      <c r="C33" s="283" t="s">
        <v>179</v>
      </c>
      <c r="D33" s="287">
        <v>0</v>
      </c>
      <c r="E33" s="287">
        <v>0</v>
      </c>
      <c r="F33" s="287">
        <v>0</v>
      </c>
      <c r="H33" s="1021"/>
      <c r="I33" s="1022"/>
      <c r="J33" s="1022"/>
      <c r="K33" s="1022"/>
      <c r="L33" s="1022"/>
      <c r="M33" s="1022"/>
      <c r="N33" s="1022"/>
      <c r="O33" s="1023"/>
    </row>
    <row r="34" spans="2:15" hidden="1" x14ac:dyDescent="0.2">
      <c r="B34" s="286" t="s">
        <v>207</v>
      </c>
      <c r="C34" s="283" t="s">
        <v>179</v>
      </c>
      <c r="D34" s="287">
        <v>0</v>
      </c>
      <c r="E34" s="287">
        <v>0</v>
      </c>
      <c r="F34" s="287">
        <v>0</v>
      </c>
      <c r="H34" s="1024"/>
      <c r="I34" s="1025"/>
      <c r="J34" s="1025"/>
      <c r="K34" s="1025"/>
      <c r="L34" s="1025"/>
      <c r="M34" s="1025"/>
      <c r="N34" s="1025"/>
      <c r="O34" s="1026"/>
    </row>
    <row r="35" spans="2:15" hidden="1" x14ac:dyDescent="0.2"/>
    <row r="36" spans="2:15" ht="15" hidden="1" x14ac:dyDescent="0.25">
      <c r="B36" s="282" t="s">
        <v>182</v>
      </c>
      <c r="C36" s="283" t="s">
        <v>183</v>
      </c>
      <c r="D36" s="287">
        <v>0</v>
      </c>
      <c r="E36" s="287">
        <v>0</v>
      </c>
      <c r="F36" s="287">
        <v>0</v>
      </c>
      <c r="H36" s="280" t="s">
        <v>184</v>
      </c>
    </row>
    <row r="37" spans="2:15" hidden="1" x14ac:dyDescent="0.2">
      <c r="H37" s="1018"/>
      <c r="I37" s="1019"/>
      <c r="J37" s="1019"/>
      <c r="K37" s="1019"/>
      <c r="L37" s="1019"/>
      <c r="M37" s="1019"/>
      <c r="N37" s="1019"/>
      <c r="O37" s="1020"/>
    </row>
    <row r="38" spans="2:15" ht="15" hidden="1" x14ac:dyDescent="0.25">
      <c r="B38" s="276" t="s">
        <v>186</v>
      </c>
      <c r="C38" s="276"/>
      <c r="H38" s="1021"/>
      <c r="I38" s="1022"/>
      <c r="J38" s="1022"/>
      <c r="K38" s="1022"/>
      <c r="L38" s="1022"/>
      <c r="M38" s="1022"/>
      <c r="N38" s="1022"/>
      <c r="O38" s="1023"/>
    </row>
    <row r="39" spans="2:15" hidden="1" x14ac:dyDescent="0.2">
      <c r="B39" s="286" t="s">
        <v>187</v>
      </c>
      <c r="C39" s="283" t="s">
        <v>179</v>
      </c>
      <c r="D39" s="287">
        <v>0</v>
      </c>
      <c r="E39" s="287">
        <v>0</v>
      </c>
      <c r="F39" s="287">
        <v>0</v>
      </c>
      <c r="H39" s="1021"/>
      <c r="I39" s="1022"/>
      <c r="J39" s="1022"/>
      <c r="K39" s="1022"/>
      <c r="L39" s="1022"/>
      <c r="M39" s="1022"/>
      <c r="N39" s="1022"/>
      <c r="O39" s="1023"/>
    </row>
    <row r="40" spans="2:15" hidden="1" x14ac:dyDescent="0.2">
      <c r="B40" s="286" t="s">
        <v>188</v>
      </c>
      <c r="C40" s="283" t="s">
        <v>179</v>
      </c>
      <c r="D40" s="284">
        <f>D41*(D42+D43)*12</f>
        <v>0</v>
      </c>
      <c r="E40" s="284">
        <f>E41*(E42+E43)*12</f>
        <v>0</v>
      </c>
      <c r="F40" s="284">
        <f>F41*(F42+F43)*12</f>
        <v>0</v>
      </c>
      <c r="H40" s="1024"/>
      <c r="I40" s="1025"/>
      <c r="J40" s="1025"/>
      <c r="K40" s="1025"/>
      <c r="L40" s="1025"/>
      <c r="M40" s="1025"/>
      <c r="N40" s="1025"/>
      <c r="O40" s="1026"/>
    </row>
    <row r="41" spans="2:15" hidden="1" x14ac:dyDescent="0.2">
      <c r="B41" s="290" t="s">
        <v>189</v>
      </c>
      <c r="C41" s="283" t="s">
        <v>190</v>
      </c>
      <c r="D41" s="287">
        <v>0</v>
      </c>
      <c r="E41" s="287">
        <v>0</v>
      </c>
      <c r="F41" s="287">
        <v>0</v>
      </c>
    </row>
    <row r="42" spans="2:15" ht="15" hidden="1" x14ac:dyDescent="0.25">
      <c r="B42" s="290" t="s">
        <v>191</v>
      </c>
      <c r="C42" s="283" t="s">
        <v>192</v>
      </c>
      <c r="D42" s="291">
        <v>400</v>
      </c>
      <c r="E42" s="291">
        <v>400</v>
      </c>
      <c r="F42" s="291">
        <v>400</v>
      </c>
      <c r="H42" s="280" t="s">
        <v>208</v>
      </c>
    </row>
    <row r="43" spans="2:15" hidden="1" x14ac:dyDescent="0.2">
      <c r="B43" s="290" t="s">
        <v>193</v>
      </c>
      <c r="C43" s="283" t="s">
        <v>192</v>
      </c>
      <c r="D43" s="291">
        <f>D42*0.31</f>
        <v>124</v>
      </c>
      <c r="E43" s="291">
        <f>E42*0.31</f>
        <v>124</v>
      </c>
      <c r="F43" s="291">
        <f>F42*0.31</f>
        <v>124</v>
      </c>
      <c r="H43" s="1018"/>
      <c r="I43" s="1019"/>
      <c r="J43" s="1019"/>
      <c r="K43" s="1019"/>
      <c r="L43" s="1019"/>
      <c r="M43" s="1019"/>
      <c r="N43" s="1019"/>
      <c r="O43" s="1020"/>
    </row>
    <row r="44" spans="2:15" hidden="1" x14ac:dyDescent="0.2">
      <c r="B44" s="295" t="s">
        <v>194</v>
      </c>
      <c r="C44" s="283" t="s">
        <v>179</v>
      </c>
      <c r="D44" s="284">
        <f>D45*D46</f>
        <v>0</v>
      </c>
      <c r="E44" s="284">
        <f>E45*E46</f>
        <v>0</v>
      </c>
      <c r="F44" s="284">
        <f>F45*F46</f>
        <v>0</v>
      </c>
      <c r="H44" s="1021"/>
      <c r="I44" s="1022"/>
      <c r="J44" s="1022"/>
      <c r="K44" s="1022"/>
      <c r="L44" s="1022"/>
      <c r="M44" s="1022"/>
      <c r="N44" s="1022"/>
      <c r="O44" s="1023"/>
    </row>
    <row r="45" spans="2:15" hidden="1" x14ac:dyDescent="0.2">
      <c r="B45" s="290" t="s">
        <v>195</v>
      </c>
      <c r="C45" s="296" t="s">
        <v>196</v>
      </c>
      <c r="D45" s="287">
        <v>0</v>
      </c>
      <c r="E45" s="287">
        <v>0</v>
      </c>
      <c r="F45" s="287">
        <v>0</v>
      </c>
      <c r="H45" s="1021"/>
      <c r="I45" s="1022"/>
      <c r="J45" s="1022"/>
      <c r="K45" s="1022"/>
      <c r="L45" s="1022"/>
      <c r="M45" s="1022"/>
      <c r="N45" s="1022"/>
      <c r="O45" s="1023"/>
    </row>
    <row r="46" spans="2:15" hidden="1" x14ac:dyDescent="0.2">
      <c r="B46" s="290" t="s">
        <v>197</v>
      </c>
      <c r="C46" s="296" t="s">
        <v>198</v>
      </c>
      <c r="D46" s="297">
        <v>0.11</v>
      </c>
      <c r="E46" s="297">
        <f>D46</f>
        <v>0.11</v>
      </c>
      <c r="F46" s="297">
        <f>E46</f>
        <v>0.11</v>
      </c>
      <c r="H46" s="1024"/>
      <c r="I46" s="1025"/>
      <c r="J46" s="1025"/>
      <c r="K46" s="1025"/>
      <c r="L46" s="1025"/>
      <c r="M46" s="1025"/>
      <c r="N46" s="1025"/>
      <c r="O46" s="1026"/>
    </row>
    <row r="47" spans="2:15" hidden="1" x14ac:dyDescent="0.2">
      <c r="B47" s="286" t="s">
        <v>199</v>
      </c>
      <c r="C47" s="283" t="s">
        <v>179</v>
      </c>
      <c r="D47" s="284">
        <f>D33*D48+D34*D49</f>
        <v>0</v>
      </c>
      <c r="E47" s="284">
        <f>E33*E48+E34*E49</f>
        <v>0</v>
      </c>
      <c r="F47" s="284">
        <f>F33*F48+F34*F49</f>
        <v>0</v>
      </c>
    </row>
    <row r="48" spans="2:15" hidden="1" x14ac:dyDescent="0.2">
      <c r="B48" s="290" t="s">
        <v>200</v>
      </c>
      <c r="C48" s="283" t="s">
        <v>201</v>
      </c>
      <c r="D48" s="299">
        <v>0</v>
      </c>
      <c r="E48" s="299">
        <v>0</v>
      </c>
      <c r="F48" s="299">
        <v>0</v>
      </c>
    </row>
    <row r="49" spans="2:18" hidden="1" x14ac:dyDescent="0.2">
      <c r="B49" s="290" t="s">
        <v>209</v>
      </c>
      <c r="C49" s="296" t="s">
        <v>201</v>
      </c>
      <c r="D49" s="299">
        <v>0</v>
      </c>
      <c r="E49" s="299">
        <v>0</v>
      </c>
      <c r="F49" s="299">
        <v>0</v>
      </c>
    </row>
    <row r="50" spans="2:18" ht="15" hidden="1" x14ac:dyDescent="0.25">
      <c r="B50" s="301" t="s">
        <v>203</v>
      </c>
      <c r="C50" s="302" t="s">
        <v>179</v>
      </c>
      <c r="D50" s="303">
        <f>D39+D40+D44+D47</f>
        <v>0</v>
      </c>
      <c r="E50" s="303">
        <f>E39+E40+E44+E47</f>
        <v>0</v>
      </c>
      <c r="F50" s="303">
        <f>F39+F40+F44+F47</f>
        <v>0</v>
      </c>
      <c r="H50" s="1027" t="s">
        <v>210</v>
      </c>
      <c r="I50" s="1027"/>
      <c r="J50" s="1027"/>
      <c r="K50" s="1028"/>
      <c r="L50" s="1029" t="s">
        <v>174</v>
      </c>
      <c r="M50" s="1030"/>
      <c r="N50" s="1030"/>
      <c r="O50" s="1031"/>
    </row>
    <row r="51" spans="2:18" hidden="1" x14ac:dyDescent="0.2"/>
    <row r="52" spans="2:18" s="306" customFormat="1" hidden="1" x14ac:dyDescent="0.2">
      <c r="D52" s="307"/>
      <c r="E52" s="307"/>
      <c r="F52" s="307"/>
    </row>
    <row r="54" spans="2:18" ht="15" x14ac:dyDescent="0.25">
      <c r="B54" s="277" t="s">
        <v>211</v>
      </c>
      <c r="C54" s="276"/>
      <c r="D54" s="1013" t="s">
        <v>769</v>
      </c>
      <c r="E54" s="1013"/>
      <c r="F54" s="1013"/>
      <c r="G54" s="1013"/>
      <c r="H54" s="1013"/>
      <c r="I54" s="1013"/>
      <c r="J54" s="1013"/>
      <c r="K54" s="1013"/>
      <c r="L54" s="1013"/>
      <c r="M54" s="1013"/>
      <c r="N54" s="1013"/>
      <c r="O54" s="1013"/>
    </row>
    <row r="56" spans="2:18" ht="15.75" thickBot="1" x14ac:dyDescent="0.3">
      <c r="B56" s="276" t="s">
        <v>212</v>
      </c>
      <c r="C56" s="276"/>
      <c r="D56" s="278" t="s">
        <v>213</v>
      </c>
      <c r="E56" s="278" t="s">
        <v>214</v>
      </c>
      <c r="G56" s="280" t="s">
        <v>215</v>
      </c>
      <c r="P56" s="308" t="s">
        <v>302</v>
      </c>
    </row>
    <row r="57" spans="2:18" ht="15" customHeight="1" x14ac:dyDescent="0.2">
      <c r="G57" s="1004" t="s">
        <v>777</v>
      </c>
      <c r="H57" s="1005"/>
      <c r="I57" s="1005"/>
      <c r="J57" s="1005"/>
      <c r="K57" s="1005"/>
      <c r="L57" s="1005"/>
      <c r="M57" s="1005"/>
      <c r="N57" s="1005"/>
      <c r="O57" s="1006"/>
      <c r="P57" s="663"/>
      <c r="Q57" s="663"/>
      <c r="R57" s="663"/>
    </row>
    <row r="58" spans="2:18" ht="15" x14ac:dyDescent="0.25">
      <c r="B58" s="443" t="s">
        <v>178</v>
      </c>
      <c r="C58" s="436" t="s">
        <v>179</v>
      </c>
      <c r="D58" s="435">
        <f>SUM(D59:D60)</f>
        <v>1067096.3</v>
      </c>
      <c r="E58" s="435">
        <f>SUM(E59:E60)</f>
        <v>0</v>
      </c>
      <c r="F58" s="285"/>
      <c r="G58" s="1007"/>
      <c r="H58" s="1008"/>
      <c r="I58" s="1008"/>
      <c r="J58" s="1008"/>
      <c r="K58" s="1008"/>
      <c r="L58" s="1008"/>
      <c r="M58" s="1008"/>
      <c r="N58" s="1008"/>
      <c r="O58" s="1009"/>
      <c r="P58" s="663"/>
      <c r="Q58" s="663"/>
      <c r="R58" s="663"/>
    </row>
    <row r="59" spans="2:18" ht="15" customHeight="1" x14ac:dyDescent="0.2">
      <c r="B59" s="444" t="s">
        <v>216</v>
      </c>
      <c r="C59" s="445" t="s">
        <v>179</v>
      </c>
      <c r="D59" s="446">
        <f>'INVESTITII CANAL'!F25</f>
        <v>431700</v>
      </c>
      <c r="E59" s="446">
        <f>'INVESTITII CANAL'!F44</f>
        <v>0</v>
      </c>
      <c r="F59" s="285"/>
      <c r="G59" s="1007"/>
      <c r="H59" s="1008"/>
      <c r="I59" s="1008"/>
      <c r="J59" s="1008"/>
      <c r="K59" s="1008"/>
      <c r="L59" s="1008"/>
      <c r="M59" s="1008"/>
      <c r="N59" s="1008"/>
      <c r="O59" s="1009"/>
      <c r="P59" s="663"/>
      <c r="Q59" s="663"/>
      <c r="R59" s="663"/>
    </row>
    <row r="60" spans="2:18" ht="18.75" customHeight="1" thickBot="1" x14ac:dyDescent="0.25">
      <c r="B60" s="444" t="s">
        <v>217</v>
      </c>
      <c r="C60" s="445" t="s">
        <v>179</v>
      </c>
      <c r="D60" s="446">
        <f>'INVESTITII CANAL'!G25</f>
        <v>635396.30000000005</v>
      </c>
      <c r="E60" s="446">
        <f>'INVESTITII CANAL'!G44</f>
        <v>0</v>
      </c>
      <c r="F60" s="285"/>
      <c r="G60" s="1010"/>
      <c r="H60" s="1011"/>
      <c r="I60" s="1011"/>
      <c r="J60" s="1011"/>
      <c r="K60" s="1011"/>
      <c r="L60" s="1011"/>
      <c r="M60" s="1011"/>
      <c r="N60" s="1011"/>
      <c r="O60" s="1012"/>
      <c r="P60" s="663"/>
      <c r="Q60" s="663"/>
      <c r="R60" s="663"/>
    </row>
    <row r="61" spans="2:18" ht="14.25" x14ac:dyDescent="0.2">
      <c r="B61" s="447"/>
      <c r="C61" s="447"/>
      <c r="D61" s="448"/>
      <c r="E61" s="448"/>
      <c r="F61" s="281"/>
    </row>
    <row r="62" spans="2:18" ht="15.75" thickBot="1" x14ac:dyDescent="0.3">
      <c r="B62" s="437" t="s">
        <v>218</v>
      </c>
      <c r="C62" s="456" t="s">
        <v>421</v>
      </c>
      <c r="D62" s="529">
        <f>'Volume de apa'!D12</f>
        <v>157364.64000000004</v>
      </c>
      <c r="E62" s="529">
        <f>'Volume de apa'!D13</f>
        <v>157364.64000000004</v>
      </c>
      <c r="F62" s="285"/>
      <c r="G62" s="280" t="s">
        <v>219</v>
      </c>
    </row>
    <row r="63" spans="2:18" ht="15" customHeight="1" x14ac:dyDescent="0.2">
      <c r="B63" s="447"/>
      <c r="C63" s="447"/>
      <c r="D63" s="448"/>
      <c r="E63" s="448"/>
      <c r="F63" s="281"/>
      <c r="G63" s="1004" t="s">
        <v>778</v>
      </c>
      <c r="H63" s="1005"/>
      <c r="I63" s="1005"/>
      <c r="J63" s="1005"/>
      <c r="K63" s="1005"/>
      <c r="L63" s="1005"/>
      <c r="M63" s="1005"/>
      <c r="N63" s="1005"/>
      <c r="O63" s="1006"/>
      <c r="P63" s="663"/>
      <c r="Q63" s="663"/>
      <c r="R63" s="663"/>
    </row>
    <row r="64" spans="2:18" ht="15" x14ac:dyDescent="0.25">
      <c r="B64" s="449" t="s">
        <v>234</v>
      </c>
      <c r="C64" s="450" t="s">
        <v>179</v>
      </c>
      <c r="D64" s="451">
        <f>D65+D66+D70+D73+D76+D79</f>
        <v>80121.908864533689</v>
      </c>
      <c r="E64" s="451">
        <f>E65+E66+E70+E73+E76+E79</f>
        <v>8057.1740172743139</v>
      </c>
      <c r="F64" s="279"/>
      <c r="G64" s="1007"/>
      <c r="H64" s="1008"/>
      <c r="I64" s="1008"/>
      <c r="J64" s="1008"/>
      <c r="K64" s="1008"/>
      <c r="L64" s="1008"/>
      <c r="M64" s="1008"/>
      <c r="N64" s="1008"/>
      <c r="O64" s="1009"/>
      <c r="P64" s="663"/>
      <c r="Q64" s="663"/>
      <c r="R64" s="663"/>
    </row>
    <row r="65" spans="2:18" ht="15" x14ac:dyDescent="0.25">
      <c r="B65" s="437" t="s">
        <v>220</v>
      </c>
      <c r="C65" s="438" t="s">
        <v>179</v>
      </c>
      <c r="D65" s="564">
        <f>'Cheltuieli materiale'!D5</f>
        <v>3893.0679388429412</v>
      </c>
      <c r="E65" s="564">
        <f>D65</f>
        <v>3893.0679388429412</v>
      </c>
      <c r="F65" s="285"/>
      <c r="G65" s="1007"/>
      <c r="H65" s="1008"/>
      <c r="I65" s="1008"/>
      <c r="J65" s="1008"/>
      <c r="K65" s="1008"/>
      <c r="L65" s="1008"/>
      <c r="M65" s="1008"/>
      <c r="N65" s="1008"/>
      <c r="O65" s="1009"/>
      <c r="P65" s="663"/>
      <c r="Q65" s="663"/>
      <c r="R65" s="663"/>
    </row>
    <row r="66" spans="2:18" ht="15.75" thickBot="1" x14ac:dyDescent="0.3">
      <c r="B66" s="437" t="s">
        <v>221</v>
      </c>
      <c r="C66" s="438" t="s">
        <v>179</v>
      </c>
      <c r="D66" s="439">
        <f>D67*(D68+D69)*12</f>
        <v>38880</v>
      </c>
      <c r="E66" s="439">
        <f>E67*(E68+E69)*12</f>
        <v>0</v>
      </c>
      <c r="F66" s="285"/>
      <c r="G66" s="1010"/>
      <c r="H66" s="1011"/>
      <c r="I66" s="1011"/>
      <c r="J66" s="1011"/>
      <c r="K66" s="1011"/>
      <c r="L66" s="1011"/>
      <c r="M66" s="1011"/>
      <c r="N66" s="1011"/>
      <c r="O66" s="1012"/>
      <c r="P66" s="663"/>
      <c r="Q66" s="663"/>
      <c r="R66" s="663"/>
    </row>
    <row r="67" spans="2:18" ht="14.25" x14ac:dyDescent="0.2">
      <c r="B67" s="452" t="s">
        <v>222</v>
      </c>
      <c r="C67" s="445" t="s">
        <v>190</v>
      </c>
      <c r="D67" s="446">
        <f>'Personal exploatare'!C11</f>
        <v>3</v>
      </c>
      <c r="E67" s="446">
        <f>'Personal exploatare'!C18+'Personal exploatare'!D18</f>
        <v>0</v>
      </c>
      <c r="F67" s="285"/>
      <c r="H67" s="457"/>
      <c r="I67" s="457"/>
      <c r="J67" s="457"/>
      <c r="K67" s="457"/>
      <c r="L67" s="457"/>
      <c r="M67" s="457"/>
      <c r="N67" s="457"/>
      <c r="O67" s="457"/>
    </row>
    <row r="68" spans="2:18" ht="15" x14ac:dyDescent="0.25">
      <c r="B68" s="452" t="s">
        <v>223</v>
      </c>
      <c r="C68" s="445" t="s">
        <v>224</v>
      </c>
      <c r="D68" s="440">
        <v>600</v>
      </c>
      <c r="E68" s="440">
        <v>600</v>
      </c>
      <c r="F68" s="285"/>
      <c r="H68" s="280"/>
    </row>
    <row r="69" spans="2:18" ht="14.25" x14ac:dyDescent="0.2">
      <c r="B69" s="452" t="s">
        <v>225</v>
      </c>
      <c r="C69" s="445" t="s">
        <v>224</v>
      </c>
      <c r="D69" s="446">
        <v>480</v>
      </c>
      <c r="E69" s="446">
        <v>480</v>
      </c>
      <c r="F69" s="285"/>
    </row>
    <row r="70" spans="2:18" ht="15" x14ac:dyDescent="0.25">
      <c r="B70" s="441" t="s">
        <v>226</v>
      </c>
      <c r="C70" s="438" t="s">
        <v>179</v>
      </c>
      <c r="D70" s="439">
        <f>D71*D72</f>
        <v>25406.470913953242</v>
      </c>
      <c r="E70" s="439">
        <f>E71*E72</f>
        <v>4164.1060784313731</v>
      </c>
      <c r="F70" s="285"/>
    </row>
    <row r="71" spans="2:18" ht="14.25" x14ac:dyDescent="0.2">
      <c r="B71" s="452" t="s">
        <v>227</v>
      </c>
      <c r="C71" s="453" t="s">
        <v>228</v>
      </c>
      <c r="D71" s="446">
        <f>'Cheltuieli energie'!D12</f>
        <v>230967.91739957494</v>
      </c>
      <c r="E71" s="446">
        <f>'Cheltuieli energie'!D25</f>
        <v>37855.509803921574</v>
      </c>
      <c r="F71" s="285"/>
    </row>
    <row r="72" spans="2:18" ht="14.25" x14ac:dyDescent="0.2">
      <c r="B72" s="452" t="s">
        <v>229</v>
      </c>
      <c r="C72" s="453" t="s">
        <v>198</v>
      </c>
      <c r="D72" s="454">
        <v>0.11</v>
      </c>
      <c r="E72" s="454">
        <f>D72</f>
        <v>0.11</v>
      </c>
      <c r="F72" s="298"/>
    </row>
    <row r="73" spans="2:18" ht="15" x14ac:dyDescent="0.25">
      <c r="B73" s="437" t="s">
        <v>230</v>
      </c>
      <c r="C73" s="438" t="s">
        <v>179</v>
      </c>
      <c r="D73" s="439">
        <f>D59*D74+D60*D75</f>
        <v>11689.4445</v>
      </c>
      <c r="E73" s="439">
        <f>E59*E74+E60*E75</f>
        <v>0</v>
      </c>
      <c r="F73" s="285"/>
      <c r="H73" s="310"/>
      <c r="I73" s="310"/>
      <c r="J73" s="310"/>
      <c r="K73" s="310"/>
      <c r="L73" s="310"/>
      <c r="M73" s="310"/>
      <c r="N73" s="310"/>
      <c r="O73" s="310"/>
      <c r="P73" s="310"/>
    </row>
    <row r="74" spans="2:18" ht="14.25" x14ac:dyDescent="0.2">
      <c r="B74" s="452" t="s">
        <v>231</v>
      </c>
      <c r="C74" s="445" t="s">
        <v>201</v>
      </c>
      <c r="D74" s="455">
        <v>5.0000000000000001E-3</v>
      </c>
      <c r="E74" s="455">
        <v>5.0000000000000001E-3</v>
      </c>
      <c r="F74" s="300"/>
      <c r="H74" s="310"/>
      <c r="I74" s="310"/>
      <c r="J74" s="310"/>
      <c r="K74" s="310"/>
      <c r="L74" s="310"/>
      <c r="M74" s="310"/>
      <c r="N74" s="310"/>
      <c r="O74" s="310"/>
      <c r="P74" s="310"/>
    </row>
    <row r="75" spans="2:18" ht="28.5" x14ac:dyDescent="0.2">
      <c r="B75" s="558" t="s">
        <v>232</v>
      </c>
      <c r="C75" s="559" t="s">
        <v>201</v>
      </c>
      <c r="D75" s="560">
        <v>1.4999999999999999E-2</v>
      </c>
      <c r="E75" s="560">
        <v>1.4999999999999999E-2</v>
      </c>
      <c r="F75" s="300"/>
    </row>
    <row r="76" spans="2:18" ht="15" x14ac:dyDescent="0.25">
      <c r="B76" s="441" t="s">
        <v>767</v>
      </c>
      <c r="C76" s="442"/>
      <c r="D76" s="1129">
        <f>D77*4.5*D78/4</f>
        <v>252.92551173749996</v>
      </c>
      <c r="E76" s="1129">
        <f>E77*E78</f>
        <v>0</v>
      </c>
      <c r="F76" s="285"/>
    </row>
    <row r="77" spans="2:18" ht="14.25" x14ac:dyDescent="0.2">
      <c r="B77" s="674" t="s">
        <v>227</v>
      </c>
      <c r="C77" s="673" t="s">
        <v>569</v>
      </c>
      <c r="D77" s="1000">
        <f>Reactivi_Belin!F12</f>
        <v>224.82267709999996</v>
      </c>
      <c r="E77" s="670">
        <v>0</v>
      </c>
      <c r="F77" s="285"/>
    </row>
    <row r="78" spans="2:18" ht="14.25" x14ac:dyDescent="0.2">
      <c r="B78" s="674" t="s">
        <v>570</v>
      </c>
      <c r="C78" s="675" t="s">
        <v>571</v>
      </c>
      <c r="D78" s="1000">
        <v>1</v>
      </c>
      <c r="E78" s="670">
        <v>1</v>
      </c>
      <c r="F78" s="285"/>
    </row>
    <row r="79" spans="2:18" x14ac:dyDescent="0.2">
      <c r="F79" s="285"/>
      <c r="G79" s="305"/>
    </row>
    <row r="80" spans="2:18" ht="15" x14ac:dyDescent="0.25">
      <c r="F80" s="304"/>
      <c r="G80" s="275" t="s">
        <v>235</v>
      </c>
      <c r="H80" s="1042" t="s">
        <v>236</v>
      </c>
      <c r="I80" s="1027"/>
      <c r="J80" s="1027"/>
      <c r="K80" s="1028"/>
      <c r="L80" s="1043" t="s">
        <v>776</v>
      </c>
      <c r="M80" s="1044"/>
      <c r="N80" s="1044"/>
      <c r="O80" s="1045"/>
    </row>
    <row r="81" spans="2:15" x14ac:dyDescent="0.2">
      <c r="D81" s="305"/>
      <c r="E81" s="305"/>
      <c r="F81" s="285"/>
    </row>
    <row r="82" spans="2:15" s="306" customFormat="1" hidden="1" x14ac:dyDescent="0.2">
      <c r="D82" s="307"/>
      <c r="E82" s="307"/>
      <c r="F82" s="307"/>
    </row>
    <row r="83" spans="2:15" hidden="1" x14ac:dyDescent="0.2">
      <c r="D83" s="305"/>
      <c r="E83" s="305"/>
      <c r="F83" s="305"/>
    </row>
    <row r="84" spans="2:15" ht="15" hidden="1" x14ac:dyDescent="0.25">
      <c r="B84" s="276" t="s">
        <v>205</v>
      </c>
      <c r="C84" s="276"/>
      <c r="D84" s="278" t="s">
        <v>174</v>
      </c>
      <c r="E84" s="278" t="s">
        <v>175</v>
      </c>
      <c r="F84" s="278" t="s">
        <v>206</v>
      </c>
      <c r="H84" s="280" t="s">
        <v>176</v>
      </c>
    </row>
    <row r="85" spans="2:15" hidden="1" x14ac:dyDescent="0.2">
      <c r="H85" s="1018"/>
      <c r="I85" s="1019"/>
      <c r="J85" s="1019"/>
      <c r="K85" s="1019"/>
      <c r="L85" s="1019"/>
      <c r="M85" s="1019"/>
      <c r="N85" s="1019"/>
      <c r="O85" s="1020"/>
    </row>
    <row r="86" spans="2:15" ht="15" hidden="1" x14ac:dyDescent="0.25">
      <c r="B86" s="282" t="s">
        <v>178</v>
      </c>
      <c r="C86" s="283" t="s">
        <v>179</v>
      </c>
      <c r="D86" s="284">
        <f>SUM(D87:D88)</f>
        <v>0</v>
      </c>
      <c r="E86" s="284">
        <f>SUM(E87:E88)</f>
        <v>0</v>
      </c>
      <c r="F86" s="284">
        <f>SUM(F87:F88)</f>
        <v>0</v>
      </c>
      <c r="H86" s="1021"/>
      <c r="I86" s="1022"/>
      <c r="J86" s="1022"/>
      <c r="K86" s="1022"/>
      <c r="L86" s="1022"/>
      <c r="M86" s="1022"/>
      <c r="N86" s="1022"/>
      <c r="O86" s="1023"/>
    </row>
    <row r="87" spans="2:15" hidden="1" x14ac:dyDescent="0.2">
      <c r="B87" s="286" t="s">
        <v>180</v>
      </c>
      <c r="C87" s="283" t="s">
        <v>179</v>
      </c>
      <c r="D87" s="287">
        <v>0</v>
      </c>
      <c r="E87" s="287">
        <v>0</v>
      </c>
      <c r="F87" s="287">
        <v>0</v>
      </c>
      <c r="H87" s="1021"/>
      <c r="I87" s="1022"/>
      <c r="J87" s="1022"/>
      <c r="K87" s="1022"/>
      <c r="L87" s="1022"/>
      <c r="M87" s="1022"/>
      <c r="N87" s="1022"/>
      <c r="O87" s="1023"/>
    </row>
    <row r="88" spans="2:15" hidden="1" x14ac:dyDescent="0.2">
      <c r="B88" s="286" t="s">
        <v>207</v>
      </c>
      <c r="C88" s="283" t="s">
        <v>179</v>
      </c>
      <c r="D88" s="287">
        <v>0</v>
      </c>
      <c r="E88" s="287">
        <v>0</v>
      </c>
      <c r="F88" s="287">
        <v>0</v>
      </c>
      <c r="H88" s="1024"/>
      <c r="I88" s="1025"/>
      <c r="J88" s="1025"/>
      <c r="K88" s="1025"/>
      <c r="L88" s="1025"/>
      <c r="M88" s="1025"/>
      <c r="N88" s="1025"/>
      <c r="O88" s="1026"/>
    </row>
    <row r="89" spans="2:15" hidden="1" x14ac:dyDescent="0.2"/>
    <row r="90" spans="2:15" ht="15" hidden="1" x14ac:dyDescent="0.25">
      <c r="B90" s="282" t="s">
        <v>182</v>
      </c>
      <c r="C90" s="283" t="s">
        <v>183</v>
      </c>
      <c r="D90" s="287">
        <v>0</v>
      </c>
      <c r="E90" s="287">
        <v>0</v>
      </c>
      <c r="F90" s="287">
        <v>0</v>
      </c>
      <c r="H90" s="280" t="s">
        <v>184</v>
      </c>
    </row>
    <row r="91" spans="2:15" hidden="1" x14ac:dyDescent="0.2">
      <c r="H91" s="1018"/>
      <c r="I91" s="1019"/>
      <c r="J91" s="1019"/>
      <c r="K91" s="1019"/>
      <c r="L91" s="1019"/>
      <c r="M91" s="1019"/>
      <c r="N91" s="1019"/>
      <c r="O91" s="1020"/>
    </row>
    <row r="92" spans="2:15" ht="15" hidden="1" x14ac:dyDescent="0.25">
      <c r="B92" s="276" t="s">
        <v>186</v>
      </c>
      <c r="C92" s="276"/>
      <c r="H92" s="1021"/>
      <c r="I92" s="1022"/>
      <c r="J92" s="1022"/>
      <c r="K92" s="1022"/>
      <c r="L92" s="1022"/>
      <c r="M92" s="1022"/>
      <c r="N92" s="1022"/>
      <c r="O92" s="1023"/>
    </row>
    <row r="93" spans="2:15" hidden="1" x14ac:dyDescent="0.2">
      <c r="B93" s="286" t="s">
        <v>187</v>
      </c>
      <c r="C93" s="283" t="s">
        <v>179</v>
      </c>
      <c r="D93" s="287">
        <v>0</v>
      </c>
      <c r="E93" s="287">
        <v>0</v>
      </c>
      <c r="F93" s="287">
        <v>0</v>
      </c>
      <c r="H93" s="1021"/>
      <c r="I93" s="1022"/>
      <c r="J93" s="1022"/>
      <c r="K93" s="1022"/>
      <c r="L93" s="1022"/>
      <c r="M93" s="1022"/>
      <c r="N93" s="1022"/>
      <c r="O93" s="1023"/>
    </row>
    <row r="94" spans="2:15" hidden="1" x14ac:dyDescent="0.2">
      <c r="B94" s="286" t="s">
        <v>188</v>
      </c>
      <c r="C94" s="283" t="s">
        <v>179</v>
      </c>
      <c r="D94" s="284">
        <f>D95*(D96+D97)*12</f>
        <v>0</v>
      </c>
      <c r="E94" s="284">
        <f>E95*(E96+E97)*12</f>
        <v>0</v>
      </c>
      <c r="F94" s="284">
        <f>F95*(F96+F97)*12</f>
        <v>0</v>
      </c>
      <c r="H94" s="1024"/>
      <c r="I94" s="1025"/>
      <c r="J94" s="1025"/>
      <c r="K94" s="1025"/>
      <c r="L94" s="1025"/>
      <c r="M94" s="1025"/>
      <c r="N94" s="1025"/>
      <c r="O94" s="1026"/>
    </row>
    <row r="95" spans="2:15" hidden="1" x14ac:dyDescent="0.2">
      <c r="B95" s="290" t="s">
        <v>189</v>
      </c>
      <c r="C95" s="283" t="s">
        <v>190</v>
      </c>
      <c r="D95" s="287">
        <v>0</v>
      </c>
      <c r="E95" s="287">
        <v>0</v>
      </c>
      <c r="F95" s="287">
        <v>0</v>
      </c>
    </row>
    <row r="96" spans="2:15" ht="15" hidden="1" x14ac:dyDescent="0.25">
      <c r="B96" s="290" t="s">
        <v>191</v>
      </c>
      <c r="C96" s="283" t="s">
        <v>192</v>
      </c>
      <c r="D96" s="291">
        <v>400</v>
      </c>
      <c r="E96" s="291">
        <v>400</v>
      </c>
      <c r="F96" s="291">
        <v>400</v>
      </c>
      <c r="H96" s="280" t="s">
        <v>208</v>
      </c>
    </row>
    <row r="97" spans="2:15" hidden="1" x14ac:dyDescent="0.2">
      <c r="B97" s="290" t="s">
        <v>193</v>
      </c>
      <c r="C97" s="283" t="s">
        <v>192</v>
      </c>
      <c r="D97" s="291">
        <f>D96*0.31</f>
        <v>124</v>
      </c>
      <c r="E97" s="291">
        <f>E96*0.31</f>
        <v>124</v>
      </c>
      <c r="F97" s="291">
        <f>F96*0.31</f>
        <v>124</v>
      </c>
      <c r="H97" s="1018"/>
      <c r="I97" s="1019"/>
      <c r="J97" s="1019"/>
      <c r="K97" s="1019"/>
      <c r="L97" s="1019"/>
      <c r="M97" s="1019"/>
      <c r="N97" s="1019"/>
      <c r="O97" s="1020"/>
    </row>
    <row r="98" spans="2:15" hidden="1" x14ac:dyDescent="0.2">
      <c r="B98" s="295" t="s">
        <v>194</v>
      </c>
      <c r="C98" s="283" t="s">
        <v>179</v>
      </c>
      <c r="D98" s="284">
        <f>D99*D100</f>
        <v>0</v>
      </c>
      <c r="E98" s="284">
        <f>E99*E100</f>
        <v>0</v>
      </c>
      <c r="F98" s="284">
        <f>F99*F100</f>
        <v>0</v>
      </c>
      <c r="H98" s="1021"/>
      <c r="I98" s="1022"/>
      <c r="J98" s="1022"/>
      <c r="K98" s="1022"/>
      <c r="L98" s="1022"/>
      <c r="M98" s="1022"/>
      <c r="N98" s="1022"/>
      <c r="O98" s="1023"/>
    </row>
    <row r="99" spans="2:15" hidden="1" x14ac:dyDescent="0.2">
      <c r="B99" s="290" t="s">
        <v>195</v>
      </c>
      <c r="C99" s="296" t="s">
        <v>196</v>
      </c>
      <c r="D99" s="287">
        <v>0</v>
      </c>
      <c r="E99" s="287">
        <v>0</v>
      </c>
      <c r="F99" s="287">
        <v>0</v>
      </c>
      <c r="H99" s="1021"/>
      <c r="I99" s="1022"/>
      <c r="J99" s="1022"/>
      <c r="K99" s="1022"/>
      <c r="L99" s="1022"/>
      <c r="M99" s="1022"/>
      <c r="N99" s="1022"/>
      <c r="O99" s="1023"/>
    </row>
    <row r="100" spans="2:15" hidden="1" x14ac:dyDescent="0.2">
      <c r="B100" s="290" t="s">
        <v>197</v>
      </c>
      <c r="C100" s="296" t="s">
        <v>198</v>
      </c>
      <c r="D100" s="297">
        <v>0.11</v>
      </c>
      <c r="E100" s="297">
        <f>D100</f>
        <v>0.11</v>
      </c>
      <c r="F100" s="297">
        <f>E100</f>
        <v>0.11</v>
      </c>
      <c r="H100" s="1024"/>
      <c r="I100" s="1025"/>
      <c r="J100" s="1025"/>
      <c r="K100" s="1025"/>
      <c r="L100" s="1025"/>
      <c r="M100" s="1025"/>
      <c r="N100" s="1025"/>
      <c r="O100" s="1026"/>
    </row>
    <row r="101" spans="2:15" hidden="1" x14ac:dyDescent="0.2">
      <c r="B101" s="286" t="s">
        <v>199</v>
      </c>
      <c r="C101" s="283" t="s">
        <v>179</v>
      </c>
      <c r="D101" s="284">
        <f>D87*D102+D88*D103</f>
        <v>0</v>
      </c>
      <c r="E101" s="284">
        <f>E87*E102+E88*E103</f>
        <v>0</v>
      </c>
      <c r="F101" s="284">
        <f>F87*F102+F88*F103</f>
        <v>0</v>
      </c>
    </row>
    <row r="102" spans="2:15" hidden="1" x14ac:dyDescent="0.2">
      <c r="B102" s="290" t="s">
        <v>200</v>
      </c>
      <c r="C102" s="283" t="s">
        <v>201</v>
      </c>
      <c r="D102" s="299">
        <v>0</v>
      </c>
      <c r="E102" s="299">
        <v>0</v>
      </c>
      <c r="F102" s="299">
        <v>0</v>
      </c>
    </row>
    <row r="103" spans="2:15" hidden="1" x14ac:dyDescent="0.2">
      <c r="B103" s="290" t="s">
        <v>209</v>
      </c>
      <c r="C103" s="296" t="s">
        <v>201</v>
      </c>
      <c r="D103" s="299">
        <v>0</v>
      </c>
      <c r="E103" s="299">
        <v>0</v>
      </c>
      <c r="F103" s="299">
        <v>0</v>
      </c>
    </row>
    <row r="104" spans="2:15" hidden="1" x14ac:dyDescent="0.2">
      <c r="B104" s="295" t="s">
        <v>237</v>
      </c>
      <c r="C104" s="296"/>
      <c r="D104" s="291">
        <f>D105*D106</f>
        <v>0</v>
      </c>
      <c r="E104" s="291">
        <f>E105*E106</f>
        <v>0</v>
      </c>
      <c r="F104" s="291">
        <f>F105*F106</f>
        <v>0</v>
      </c>
    </row>
    <row r="105" spans="2:15" hidden="1" x14ac:dyDescent="0.2">
      <c r="B105" s="290" t="s">
        <v>195</v>
      </c>
      <c r="C105" s="283" t="s">
        <v>238</v>
      </c>
      <c r="D105" s="287">
        <v>0</v>
      </c>
      <c r="E105" s="287">
        <v>0</v>
      </c>
      <c r="F105" s="287">
        <v>0</v>
      </c>
    </row>
    <row r="106" spans="2:15" hidden="1" x14ac:dyDescent="0.2">
      <c r="B106" s="290" t="s">
        <v>239</v>
      </c>
      <c r="C106" s="296" t="s">
        <v>233</v>
      </c>
      <c r="D106" s="291">
        <v>25</v>
      </c>
      <c r="E106" s="291">
        <v>25</v>
      </c>
      <c r="F106" s="291">
        <v>25</v>
      </c>
    </row>
    <row r="107" spans="2:15" ht="15" hidden="1" x14ac:dyDescent="0.25">
      <c r="B107" s="301" t="s">
        <v>203</v>
      </c>
      <c r="C107" s="302" t="s">
        <v>179</v>
      </c>
      <c r="D107" s="303">
        <f>D93+D94+D98+D101+D104</f>
        <v>0</v>
      </c>
      <c r="E107" s="303">
        <f>E93+E94+E98+E101+E104</f>
        <v>0</v>
      </c>
      <c r="F107" s="303">
        <f>F93+F94+F98+F101+F104</f>
        <v>0</v>
      </c>
      <c r="H107" s="1027" t="s">
        <v>210</v>
      </c>
      <c r="I107" s="1027"/>
      <c r="J107" s="1027"/>
      <c r="K107" s="1028"/>
      <c r="L107" s="1029" t="s">
        <v>174</v>
      </c>
      <c r="M107" s="1030"/>
      <c r="N107" s="1030"/>
      <c r="O107" s="1031"/>
    </row>
    <row r="108" spans="2:15" hidden="1" x14ac:dyDescent="0.2"/>
    <row r="109" spans="2:15" s="306" customFormat="1" hidden="1" x14ac:dyDescent="0.2">
      <c r="D109" s="307"/>
      <c r="E109" s="307"/>
      <c r="F109" s="307"/>
    </row>
    <row r="110" spans="2:15" x14ac:dyDescent="0.2">
      <c r="D110" s="311"/>
      <c r="E110" s="311"/>
    </row>
    <row r="111" spans="2:15" ht="15" x14ac:dyDescent="0.25">
      <c r="B111" s="276" t="s">
        <v>240</v>
      </c>
    </row>
    <row r="112" spans="2:15" ht="15" hidden="1" x14ac:dyDescent="0.25">
      <c r="B112" s="276"/>
    </row>
    <row r="113" spans="2:41" ht="15" hidden="1" x14ac:dyDescent="0.25">
      <c r="B113" s="276" t="s">
        <v>241</v>
      </c>
    </row>
    <row r="114" spans="2:41" ht="15" hidden="1" x14ac:dyDescent="0.25">
      <c r="B114" s="276"/>
    </row>
    <row r="115" spans="2:41" ht="15" hidden="1" x14ac:dyDescent="0.25">
      <c r="B115" s="276" t="str">
        <f>B6</f>
        <v>Analysis 1</v>
      </c>
    </row>
    <row r="116" spans="2:41" hidden="1" x14ac:dyDescent="0.2">
      <c r="AC116" s="281"/>
      <c r="AD116" s="281"/>
      <c r="AE116" s="281"/>
      <c r="AF116" s="281"/>
      <c r="AG116" s="281"/>
      <c r="AH116" s="281"/>
      <c r="AI116" s="281"/>
      <c r="AJ116" s="281"/>
      <c r="AK116" s="281"/>
      <c r="AL116" s="281"/>
      <c r="AM116" s="281"/>
      <c r="AN116" s="281"/>
      <c r="AO116" s="281"/>
    </row>
    <row r="117" spans="2:41" ht="15" hidden="1" x14ac:dyDescent="0.25">
      <c r="B117" s="312" t="s">
        <v>174</v>
      </c>
      <c r="O117" s="312" t="s">
        <v>175</v>
      </c>
      <c r="AC117" s="313"/>
      <c r="AD117" s="281"/>
      <c r="AE117" s="281"/>
      <c r="AF117" s="281"/>
      <c r="AG117" s="281"/>
      <c r="AH117" s="281"/>
      <c r="AI117" s="281"/>
      <c r="AJ117" s="281"/>
      <c r="AK117" s="281"/>
      <c r="AL117" s="281"/>
      <c r="AM117" s="281"/>
      <c r="AN117" s="281"/>
      <c r="AO117" s="281"/>
    </row>
    <row r="118" spans="2:41" hidden="1" x14ac:dyDescent="0.2">
      <c r="AC118" s="281"/>
      <c r="AD118" s="281"/>
      <c r="AE118" s="281"/>
      <c r="AF118" s="281"/>
      <c r="AG118" s="281"/>
      <c r="AH118" s="281"/>
      <c r="AI118" s="281"/>
      <c r="AJ118" s="281"/>
      <c r="AK118" s="281"/>
      <c r="AL118" s="281"/>
      <c r="AM118" s="281"/>
      <c r="AN118" s="281"/>
      <c r="AO118" s="281"/>
    </row>
    <row r="119" spans="2:41" s="314" customFormat="1" ht="15.75" hidden="1" x14ac:dyDescent="0.25">
      <c r="B119" s="315" t="s">
        <v>242</v>
      </c>
      <c r="C119" s="1033" t="s">
        <v>243</v>
      </c>
      <c r="D119" s="1034"/>
      <c r="E119" s="1033" t="s">
        <v>244</v>
      </c>
      <c r="F119" s="1035"/>
      <c r="G119" s="1035"/>
      <c r="H119" s="1035"/>
      <c r="I119" s="1035"/>
      <c r="J119" s="1034"/>
      <c r="K119" s="315" t="s">
        <v>245</v>
      </c>
      <c r="N119" s="316"/>
      <c r="O119" s="315" t="s">
        <v>242</v>
      </c>
      <c r="P119" s="1033" t="s">
        <v>243</v>
      </c>
      <c r="Q119" s="1034"/>
      <c r="R119" s="1033" t="s">
        <v>244</v>
      </c>
      <c r="S119" s="1035"/>
      <c r="T119" s="1035"/>
      <c r="U119" s="1035"/>
      <c r="V119" s="1035"/>
      <c r="W119" s="1034"/>
      <c r="X119" s="317"/>
      <c r="Y119" s="315" t="s">
        <v>245</v>
      </c>
      <c r="AB119" s="316"/>
      <c r="AC119" s="318"/>
      <c r="AD119" s="1032"/>
      <c r="AE119" s="1032"/>
      <c r="AF119" s="1032"/>
      <c r="AG119" s="1032"/>
      <c r="AH119" s="1032"/>
      <c r="AI119" s="1032"/>
      <c r="AJ119" s="1032"/>
      <c r="AK119" s="1032"/>
      <c r="AL119" s="318"/>
      <c r="AM119" s="319"/>
      <c r="AN119" s="319"/>
      <c r="AO119" s="319"/>
    </row>
    <row r="120" spans="2:41" s="314" customFormat="1" ht="15.75" hidden="1" x14ac:dyDescent="0.25">
      <c r="B120" s="320"/>
      <c r="C120" s="315" t="s">
        <v>180</v>
      </c>
      <c r="D120" s="315" t="s">
        <v>246</v>
      </c>
      <c r="E120" s="315" t="s">
        <v>247</v>
      </c>
      <c r="F120" s="315" t="s">
        <v>248</v>
      </c>
      <c r="G120" s="315" t="s">
        <v>249</v>
      </c>
      <c r="H120" s="315" t="s">
        <v>250</v>
      </c>
      <c r="I120" s="315" t="s">
        <v>251</v>
      </c>
      <c r="J120" s="315" t="s">
        <v>252</v>
      </c>
      <c r="K120" s="315" t="s">
        <v>253</v>
      </c>
      <c r="N120" s="316"/>
      <c r="O120" s="320"/>
      <c r="P120" s="315" t="s">
        <v>180</v>
      </c>
      <c r="Q120" s="315" t="s">
        <v>246</v>
      </c>
      <c r="R120" s="315" t="s">
        <v>247</v>
      </c>
      <c r="S120" s="315" t="s">
        <v>248</v>
      </c>
      <c r="T120" s="315" t="s">
        <v>249</v>
      </c>
      <c r="U120" s="315" t="s">
        <v>250</v>
      </c>
      <c r="V120" s="315" t="s">
        <v>251</v>
      </c>
      <c r="W120" s="315" t="s">
        <v>252</v>
      </c>
      <c r="X120" s="315"/>
      <c r="Y120" s="315" t="s">
        <v>253</v>
      </c>
      <c r="AB120" s="316"/>
      <c r="AC120" s="319"/>
      <c r="AD120" s="318"/>
      <c r="AE120" s="318"/>
      <c r="AF120" s="318"/>
      <c r="AG120" s="318"/>
      <c r="AH120" s="318"/>
      <c r="AI120" s="318"/>
      <c r="AJ120" s="318"/>
      <c r="AK120" s="318"/>
      <c r="AL120" s="318"/>
      <c r="AM120" s="319"/>
      <c r="AN120" s="319"/>
      <c r="AO120" s="319"/>
    </row>
    <row r="121" spans="2:41" s="314" customFormat="1" ht="15.75" hidden="1" x14ac:dyDescent="0.25">
      <c r="B121" s="320"/>
      <c r="C121" s="320"/>
      <c r="D121" s="315" t="s">
        <v>254</v>
      </c>
      <c r="E121" s="315" t="s">
        <v>255</v>
      </c>
      <c r="F121" s="315" t="s">
        <v>255</v>
      </c>
      <c r="G121" s="315" t="s">
        <v>255</v>
      </c>
      <c r="H121" s="315" t="s">
        <v>255</v>
      </c>
      <c r="I121" s="315" t="s">
        <v>256</v>
      </c>
      <c r="J121" s="315" t="s">
        <v>257</v>
      </c>
      <c r="K121" s="315" t="s">
        <v>258</v>
      </c>
      <c r="N121" s="316"/>
      <c r="O121" s="320"/>
      <c r="P121" s="320"/>
      <c r="Q121" s="315" t="s">
        <v>254</v>
      </c>
      <c r="R121" s="315" t="s">
        <v>255</v>
      </c>
      <c r="S121" s="315" t="s">
        <v>255</v>
      </c>
      <c r="T121" s="315" t="s">
        <v>255</v>
      </c>
      <c r="U121" s="315" t="s">
        <v>255</v>
      </c>
      <c r="V121" s="315" t="s">
        <v>256</v>
      </c>
      <c r="W121" s="315" t="s">
        <v>257</v>
      </c>
      <c r="X121" s="315"/>
      <c r="Y121" s="315" t="s">
        <v>258</v>
      </c>
      <c r="AB121" s="316"/>
      <c r="AC121" s="319"/>
      <c r="AD121" s="319"/>
      <c r="AE121" s="318"/>
      <c r="AF121" s="318"/>
      <c r="AG121" s="318"/>
      <c r="AH121" s="318"/>
      <c r="AI121" s="318"/>
      <c r="AJ121" s="318"/>
      <c r="AK121" s="318"/>
      <c r="AL121" s="318"/>
      <c r="AM121" s="319"/>
      <c r="AN121" s="319"/>
      <c r="AO121" s="319"/>
    </row>
    <row r="122" spans="2:41" s="314" customFormat="1" ht="15.75" hidden="1" x14ac:dyDescent="0.25">
      <c r="B122" s="320"/>
      <c r="C122" s="320"/>
      <c r="D122" s="320"/>
      <c r="E122" s="320"/>
      <c r="F122" s="320"/>
      <c r="G122" s="320"/>
      <c r="H122" s="320"/>
      <c r="I122" s="315" t="s">
        <v>258</v>
      </c>
      <c r="J122" s="315" t="s">
        <v>195</v>
      </c>
      <c r="K122" s="315" t="s">
        <v>259</v>
      </c>
      <c r="N122" s="316"/>
      <c r="O122" s="320"/>
      <c r="P122" s="320"/>
      <c r="Q122" s="320"/>
      <c r="R122" s="320"/>
      <c r="S122" s="320"/>
      <c r="T122" s="320"/>
      <c r="U122" s="320"/>
      <c r="V122" s="315" t="s">
        <v>258</v>
      </c>
      <c r="W122" s="315" t="s">
        <v>195</v>
      </c>
      <c r="X122" s="315"/>
      <c r="Y122" s="315" t="s">
        <v>259</v>
      </c>
      <c r="AB122" s="316"/>
      <c r="AC122" s="319"/>
      <c r="AD122" s="319"/>
      <c r="AE122" s="319"/>
      <c r="AF122" s="319"/>
      <c r="AG122" s="319"/>
      <c r="AH122" s="319"/>
      <c r="AI122" s="319"/>
      <c r="AJ122" s="318"/>
      <c r="AK122" s="318"/>
      <c r="AL122" s="318"/>
      <c r="AM122" s="319"/>
      <c r="AN122" s="319"/>
      <c r="AO122" s="319"/>
    </row>
    <row r="123" spans="2:41" s="314" customFormat="1" ht="15.75" hidden="1" x14ac:dyDescent="0.25">
      <c r="B123" s="320"/>
      <c r="C123" s="315" t="s">
        <v>179</v>
      </c>
      <c r="D123" s="315" t="s">
        <v>179</v>
      </c>
      <c r="E123" s="315" t="s">
        <v>179</v>
      </c>
      <c r="F123" s="315" t="s">
        <v>179</v>
      </c>
      <c r="G123" s="315" t="s">
        <v>179</v>
      </c>
      <c r="H123" s="315" t="s">
        <v>179</v>
      </c>
      <c r="I123" s="315" t="s">
        <v>179</v>
      </c>
      <c r="J123" s="315" t="s">
        <v>183</v>
      </c>
      <c r="K123" s="315" t="s">
        <v>260</v>
      </c>
      <c r="N123" s="316"/>
      <c r="O123" s="320"/>
      <c r="P123" s="315" t="s">
        <v>179</v>
      </c>
      <c r="Q123" s="315" t="s">
        <v>179</v>
      </c>
      <c r="R123" s="315" t="s">
        <v>179</v>
      </c>
      <c r="S123" s="315" t="s">
        <v>179</v>
      </c>
      <c r="T123" s="315" t="s">
        <v>179</v>
      </c>
      <c r="U123" s="315" t="s">
        <v>179</v>
      </c>
      <c r="V123" s="315" t="s">
        <v>179</v>
      </c>
      <c r="W123" s="315" t="s">
        <v>183</v>
      </c>
      <c r="X123" s="315"/>
      <c r="Y123" s="315" t="s">
        <v>260</v>
      </c>
      <c r="AB123" s="316"/>
      <c r="AC123" s="319"/>
      <c r="AD123" s="318"/>
      <c r="AE123" s="318"/>
      <c r="AF123" s="318"/>
      <c r="AG123" s="318"/>
      <c r="AH123" s="318"/>
      <c r="AI123" s="318"/>
      <c r="AJ123" s="318"/>
      <c r="AK123" s="318"/>
      <c r="AL123" s="318"/>
      <c r="AM123" s="319"/>
      <c r="AN123" s="319"/>
      <c r="AO123" s="319"/>
    </row>
    <row r="124" spans="2:41" s="314" customFormat="1" ht="15.75" hidden="1" x14ac:dyDescent="0.25">
      <c r="B124" s="321">
        <v>2009</v>
      </c>
      <c r="C124" s="322">
        <v>0</v>
      </c>
      <c r="D124" s="322">
        <v>0</v>
      </c>
      <c r="E124" s="322"/>
      <c r="F124" s="322"/>
      <c r="G124" s="322"/>
      <c r="H124" s="322"/>
      <c r="I124" s="322">
        <f t="shared" ref="I124:I154" si="0">SUM(E124:G124)</f>
        <v>0</v>
      </c>
      <c r="J124" s="322">
        <v>0</v>
      </c>
      <c r="K124" s="323"/>
      <c r="L124" s="324"/>
      <c r="M124" s="325"/>
      <c r="N124" s="316"/>
      <c r="O124" s="321">
        <v>2009</v>
      </c>
      <c r="P124" s="322">
        <v>0</v>
      </c>
      <c r="Q124" s="322">
        <v>0</v>
      </c>
      <c r="R124" s="322"/>
      <c r="S124" s="322"/>
      <c r="T124" s="322"/>
      <c r="U124" s="322"/>
      <c r="V124" s="322">
        <f>SUM(R124:T124)</f>
        <v>0</v>
      </c>
      <c r="W124" s="322">
        <v>0</v>
      </c>
      <c r="X124" s="322"/>
      <c r="Y124" s="323"/>
      <c r="Z124" s="324"/>
      <c r="AA124" s="325"/>
      <c r="AB124" s="316"/>
      <c r="AC124" s="318"/>
      <c r="AD124" s="325"/>
      <c r="AE124" s="325"/>
      <c r="AF124" s="325"/>
      <c r="AG124" s="325"/>
      <c r="AH124" s="325"/>
      <c r="AI124" s="325"/>
      <c r="AJ124" s="325"/>
      <c r="AK124" s="325"/>
      <c r="AL124" s="326"/>
      <c r="AM124" s="327"/>
      <c r="AN124" s="325"/>
      <c r="AO124" s="319"/>
    </row>
    <row r="125" spans="2:41" s="314" customFormat="1" ht="15.75" hidden="1" x14ac:dyDescent="0.25">
      <c r="B125" s="321">
        <f t="shared" ref="B125:B151" si="1">+B124+1</f>
        <v>2010</v>
      </c>
      <c r="C125" s="328">
        <f>D$9*L125</f>
        <v>0</v>
      </c>
      <c r="D125" s="328">
        <f>D$10*L125</f>
        <v>0</v>
      </c>
      <c r="E125" s="322"/>
      <c r="F125" s="322"/>
      <c r="G125" s="322"/>
      <c r="H125" s="322"/>
      <c r="I125" s="322">
        <f t="shared" si="0"/>
        <v>0</v>
      </c>
      <c r="J125" s="322">
        <f>J124</f>
        <v>0</v>
      </c>
      <c r="K125" s="323"/>
      <c r="L125" s="329">
        <v>0.1</v>
      </c>
      <c r="M125" s="325"/>
      <c r="N125" s="316"/>
      <c r="O125" s="321">
        <f t="shared" ref="O125:O151" si="2">+O124+1</f>
        <v>2010</v>
      </c>
      <c r="P125" s="328">
        <f>E$9*Z125</f>
        <v>0</v>
      </c>
      <c r="Q125" s="328">
        <f>E$10*Z125</f>
        <v>0</v>
      </c>
      <c r="R125" s="322"/>
      <c r="S125" s="322"/>
      <c r="T125" s="322"/>
      <c r="U125" s="322"/>
      <c r="V125" s="322">
        <f>SUM(R125:T125)</f>
        <v>0</v>
      </c>
      <c r="W125" s="322">
        <f>W124</f>
        <v>0</v>
      </c>
      <c r="X125" s="322"/>
      <c r="Y125" s="323"/>
      <c r="Z125" s="329">
        <v>0.1</v>
      </c>
      <c r="AA125" s="325"/>
      <c r="AB125" s="316"/>
      <c r="AC125" s="318"/>
      <c r="AD125" s="325"/>
      <c r="AE125" s="325"/>
      <c r="AF125" s="325"/>
      <c r="AG125" s="325"/>
      <c r="AH125" s="325"/>
      <c r="AI125" s="325"/>
      <c r="AJ125" s="325"/>
      <c r="AK125" s="325"/>
      <c r="AL125" s="326"/>
      <c r="AM125" s="330"/>
      <c r="AN125" s="325"/>
      <c r="AO125" s="319"/>
    </row>
    <row r="126" spans="2:41" s="314" customFormat="1" ht="15.75" hidden="1" x14ac:dyDescent="0.25">
      <c r="B126" s="321">
        <f t="shared" si="1"/>
        <v>2011</v>
      </c>
      <c r="C126" s="328">
        <f>D$9*L126</f>
        <v>0</v>
      </c>
      <c r="D126" s="328">
        <f>D$10*L126</f>
        <v>0</v>
      </c>
      <c r="E126" s="331"/>
      <c r="F126" s="331"/>
      <c r="G126" s="331"/>
      <c r="H126" s="331"/>
      <c r="I126" s="331">
        <f t="shared" si="0"/>
        <v>0</v>
      </c>
      <c r="J126" s="322">
        <f>J125</f>
        <v>0</v>
      </c>
      <c r="K126" s="323"/>
      <c r="L126" s="329">
        <v>0.3</v>
      </c>
      <c r="M126" s="332"/>
      <c r="N126" s="316"/>
      <c r="O126" s="321">
        <f t="shared" si="2"/>
        <v>2011</v>
      </c>
      <c r="P126" s="328">
        <f>E$9*Z126</f>
        <v>0</v>
      </c>
      <c r="Q126" s="328">
        <f>E$10*Z126</f>
        <v>0</v>
      </c>
      <c r="R126" s="331"/>
      <c r="S126" s="331"/>
      <c r="T126" s="331"/>
      <c r="U126" s="331"/>
      <c r="V126" s="331">
        <f>SUM(R126:T126)</f>
        <v>0</v>
      </c>
      <c r="W126" s="322">
        <f>W125</f>
        <v>0</v>
      </c>
      <c r="X126" s="322"/>
      <c r="Y126" s="323"/>
      <c r="Z126" s="329">
        <v>0.3</v>
      </c>
      <c r="AA126" s="332"/>
      <c r="AB126" s="316"/>
      <c r="AC126" s="318"/>
      <c r="AD126" s="325"/>
      <c r="AE126" s="325"/>
      <c r="AF126" s="325"/>
      <c r="AG126" s="325"/>
      <c r="AH126" s="325"/>
      <c r="AI126" s="325"/>
      <c r="AJ126" s="325"/>
      <c r="AK126" s="325"/>
      <c r="AL126" s="326"/>
      <c r="AM126" s="330"/>
      <c r="AN126" s="325"/>
      <c r="AO126" s="319"/>
    </row>
    <row r="127" spans="2:41" s="314" customFormat="1" ht="15.75" hidden="1" x14ac:dyDescent="0.25">
      <c r="B127" s="321">
        <f t="shared" si="1"/>
        <v>2012</v>
      </c>
      <c r="C127" s="328">
        <f>D$9*L127</f>
        <v>0</v>
      </c>
      <c r="D127" s="328">
        <f>D$10*L127</f>
        <v>0</v>
      </c>
      <c r="E127" s="331"/>
      <c r="F127" s="331"/>
      <c r="G127" s="331"/>
      <c r="H127" s="331"/>
      <c r="I127" s="331">
        <f t="shared" si="0"/>
        <v>0</v>
      </c>
      <c r="J127" s="322">
        <f>J126</f>
        <v>0</v>
      </c>
      <c r="K127" s="323"/>
      <c r="L127" s="329">
        <v>0.3</v>
      </c>
      <c r="N127" s="316"/>
      <c r="O127" s="321">
        <f t="shared" si="2"/>
        <v>2012</v>
      </c>
      <c r="P127" s="328">
        <f>E$9*Z127</f>
        <v>0</v>
      </c>
      <c r="Q127" s="328">
        <f>E$10*Z127</f>
        <v>0</v>
      </c>
      <c r="R127" s="331"/>
      <c r="S127" s="331"/>
      <c r="T127" s="331"/>
      <c r="U127" s="331"/>
      <c r="V127" s="331">
        <f>SUM(R127:T127)</f>
        <v>0</v>
      </c>
      <c r="W127" s="322">
        <f>W126</f>
        <v>0</v>
      </c>
      <c r="X127" s="322"/>
      <c r="Y127" s="323"/>
      <c r="Z127" s="329">
        <v>0.3</v>
      </c>
      <c r="AB127" s="316"/>
      <c r="AC127" s="318"/>
      <c r="AD127" s="325"/>
      <c r="AE127" s="325"/>
      <c r="AF127" s="325"/>
      <c r="AG127" s="325"/>
      <c r="AH127" s="325"/>
      <c r="AI127" s="325"/>
      <c r="AJ127" s="325"/>
      <c r="AK127" s="325"/>
      <c r="AL127" s="326"/>
      <c r="AM127" s="330"/>
      <c r="AN127" s="319"/>
      <c r="AO127" s="319"/>
    </row>
    <row r="128" spans="2:41" s="314" customFormat="1" ht="15.75" hidden="1" x14ac:dyDescent="0.25">
      <c r="B128" s="321">
        <f t="shared" si="1"/>
        <v>2013</v>
      </c>
      <c r="C128" s="328">
        <f>D$9*L128</f>
        <v>0</v>
      </c>
      <c r="D128" s="328">
        <f>D$10*L128</f>
        <v>0</v>
      </c>
      <c r="E128" s="331"/>
      <c r="F128" s="331"/>
      <c r="G128" s="331"/>
      <c r="H128" s="331"/>
      <c r="I128" s="331">
        <f t="shared" si="0"/>
        <v>0</v>
      </c>
      <c r="J128" s="322">
        <f>J127</f>
        <v>0</v>
      </c>
      <c r="K128" s="323"/>
      <c r="L128" s="329">
        <v>0.3</v>
      </c>
      <c r="N128" s="316"/>
      <c r="O128" s="321">
        <f t="shared" si="2"/>
        <v>2013</v>
      </c>
      <c r="P128" s="328">
        <f>E$9*Z128</f>
        <v>0</v>
      </c>
      <c r="Q128" s="328">
        <f>E$10*Z128</f>
        <v>0</v>
      </c>
      <c r="R128" s="331"/>
      <c r="S128" s="331"/>
      <c r="T128" s="331"/>
      <c r="U128" s="331"/>
      <c r="V128" s="331">
        <f>SUM(R128:T128)</f>
        <v>0</v>
      </c>
      <c r="W128" s="322">
        <f>W127</f>
        <v>0</v>
      </c>
      <c r="X128" s="322"/>
      <c r="Y128" s="323"/>
      <c r="Z128" s="329">
        <v>0.3</v>
      </c>
      <c r="AB128" s="316"/>
      <c r="AC128" s="318"/>
      <c r="AD128" s="325"/>
      <c r="AE128" s="325"/>
      <c r="AF128" s="325"/>
      <c r="AG128" s="325"/>
      <c r="AH128" s="325"/>
      <c r="AI128" s="325"/>
      <c r="AJ128" s="325"/>
      <c r="AK128" s="325"/>
      <c r="AL128" s="326"/>
      <c r="AM128" s="330"/>
      <c r="AN128" s="319"/>
      <c r="AO128" s="319"/>
    </row>
    <row r="129" spans="2:41" s="314" customFormat="1" ht="15.75" hidden="1" x14ac:dyDescent="0.25">
      <c r="B129" s="321">
        <f t="shared" si="1"/>
        <v>2014</v>
      </c>
      <c r="C129" s="322">
        <v>0</v>
      </c>
      <c r="D129" s="322">
        <v>0</v>
      </c>
      <c r="E129" s="328">
        <f>D15</f>
        <v>0</v>
      </c>
      <c r="F129" s="328">
        <f>D20</f>
        <v>0</v>
      </c>
      <c r="G129" s="328">
        <f>D16</f>
        <v>0</v>
      </c>
      <c r="H129" s="328">
        <f>D23</f>
        <v>0</v>
      </c>
      <c r="I129" s="331">
        <f>SUM(E129:H129)</f>
        <v>0</v>
      </c>
      <c r="J129" s="328">
        <f>D12</f>
        <v>0</v>
      </c>
      <c r="K129" s="323"/>
      <c r="L129" s="333">
        <f>SUM(L125:L128)</f>
        <v>1</v>
      </c>
      <c r="M129" s="332">
        <f>I129-D26</f>
        <v>0</v>
      </c>
      <c r="N129" s="316"/>
      <c r="O129" s="321">
        <f t="shared" si="2"/>
        <v>2014</v>
      </c>
      <c r="P129" s="322">
        <v>0</v>
      </c>
      <c r="Q129" s="322">
        <v>0</v>
      </c>
      <c r="R129" s="328">
        <f>E15</f>
        <v>0</v>
      </c>
      <c r="S129" s="328">
        <f>E20</f>
        <v>0</v>
      </c>
      <c r="T129" s="328">
        <f>E16</f>
        <v>0</v>
      </c>
      <c r="U129" s="328">
        <f>E23</f>
        <v>0</v>
      </c>
      <c r="V129" s="331">
        <f>SUM(R129:U129)</f>
        <v>0</v>
      </c>
      <c r="W129" s="328">
        <f>E12</f>
        <v>0</v>
      </c>
      <c r="X129" s="328"/>
      <c r="Y129" s="323"/>
      <c r="Z129" s="333">
        <f>SUM(Z125:Z128)</f>
        <v>1</v>
      </c>
      <c r="AA129" s="332">
        <f>V129-E26</f>
        <v>0</v>
      </c>
      <c r="AB129" s="316"/>
      <c r="AC129" s="318"/>
      <c r="AD129" s="325"/>
      <c r="AE129" s="325"/>
      <c r="AF129" s="325"/>
      <c r="AG129" s="325"/>
      <c r="AH129" s="325"/>
      <c r="AI129" s="325"/>
      <c r="AJ129" s="325"/>
      <c r="AK129" s="325"/>
      <c r="AL129" s="326"/>
      <c r="AM129" s="334"/>
      <c r="AN129" s="325"/>
      <c r="AO129" s="319"/>
    </row>
    <row r="130" spans="2:41" s="314" customFormat="1" ht="15.75" hidden="1" x14ac:dyDescent="0.25">
      <c r="B130" s="321">
        <f t="shared" si="1"/>
        <v>2015</v>
      </c>
      <c r="C130" s="322">
        <v>0</v>
      </c>
      <c r="D130" s="322">
        <v>0</v>
      </c>
      <c r="E130" s="331" t="e">
        <f t="shared" ref="E130:F145" si="3">E129*$J130/$J129</f>
        <v>#DIV/0!</v>
      </c>
      <c r="F130" s="331" t="e">
        <f t="shared" si="3"/>
        <v>#DIV/0!</v>
      </c>
      <c r="G130" s="331">
        <f t="shared" ref="G130:H145" si="4">G129</f>
        <v>0</v>
      </c>
      <c r="H130" s="331">
        <f>H129</f>
        <v>0</v>
      </c>
      <c r="I130" s="331" t="e">
        <f t="shared" si="0"/>
        <v>#DIV/0!</v>
      </c>
      <c r="J130" s="322">
        <f>J129</f>
        <v>0</v>
      </c>
      <c r="K130" s="323"/>
      <c r="M130" s="332"/>
      <c r="N130" s="316"/>
      <c r="O130" s="321">
        <f t="shared" si="2"/>
        <v>2015</v>
      </c>
      <c r="P130" s="322">
        <v>0</v>
      </c>
      <c r="Q130" s="322">
        <v>0</v>
      </c>
      <c r="R130" s="331" t="e">
        <f t="shared" ref="R130:S145" si="5">R129*$J130/$J129</f>
        <v>#DIV/0!</v>
      </c>
      <c r="S130" s="331" t="e">
        <f t="shared" si="5"/>
        <v>#DIV/0!</v>
      </c>
      <c r="T130" s="331">
        <f t="shared" ref="T130:U145" si="6">T129</f>
        <v>0</v>
      </c>
      <c r="U130" s="331">
        <f>U129</f>
        <v>0</v>
      </c>
      <c r="V130" s="331" t="e">
        <f t="shared" ref="V130:V154" si="7">SUM(R130:T130)</f>
        <v>#DIV/0!</v>
      </c>
      <c r="W130" s="322">
        <f>W129</f>
        <v>0</v>
      </c>
      <c r="X130" s="322"/>
      <c r="Y130" s="323"/>
      <c r="AA130" s="332"/>
      <c r="AB130" s="316"/>
      <c r="AC130" s="318"/>
      <c r="AD130" s="325"/>
      <c r="AE130" s="325"/>
      <c r="AF130" s="325"/>
      <c r="AG130" s="325"/>
      <c r="AH130" s="325"/>
      <c r="AI130" s="325"/>
      <c r="AJ130" s="325"/>
      <c r="AK130" s="325"/>
      <c r="AL130" s="326"/>
      <c r="AM130" s="319"/>
      <c r="AN130" s="325"/>
      <c r="AO130" s="319"/>
    </row>
    <row r="131" spans="2:41" s="314" customFormat="1" ht="15.75" hidden="1" x14ac:dyDescent="0.25">
      <c r="B131" s="321">
        <f t="shared" si="1"/>
        <v>2016</v>
      </c>
      <c r="C131" s="322">
        <v>0</v>
      </c>
      <c r="D131" s="322">
        <v>0</v>
      </c>
      <c r="E131" s="331" t="e">
        <f t="shared" si="3"/>
        <v>#DIV/0!</v>
      </c>
      <c r="F131" s="331" t="e">
        <f t="shared" si="3"/>
        <v>#DIV/0!</v>
      </c>
      <c r="G131" s="331">
        <f t="shared" si="4"/>
        <v>0</v>
      </c>
      <c r="H131" s="331">
        <f t="shared" si="4"/>
        <v>0</v>
      </c>
      <c r="I131" s="331" t="e">
        <f t="shared" si="0"/>
        <v>#DIV/0!</v>
      </c>
      <c r="J131" s="322">
        <f t="shared" ref="J131:J153" si="8">J130</f>
        <v>0</v>
      </c>
      <c r="K131" s="323"/>
      <c r="M131" s="332"/>
      <c r="N131" s="316"/>
      <c r="O131" s="321">
        <f t="shared" si="2"/>
        <v>2016</v>
      </c>
      <c r="P131" s="322">
        <v>0</v>
      </c>
      <c r="Q131" s="322">
        <v>0</v>
      </c>
      <c r="R131" s="331" t="e">
        <f t="shared" si="5"/>
        <v>#DIV/0!</v>
      </c>
      <c r="S131" s="335" t="e">
        <f t="shared" si="5"/>
        <v>#DIV/0!</v>
      </c>
      <c r="T131" s="331">
        <f t="shared" si="6"/>
        <v>0</v>
      </c>
      <c r="U131" s="331">
        <f t="shared" si="6"/>
        <v>0</v>
      </c>
      <c r="V131" s="331" t="e">
        <f t="shared" si="7"/>
        <v>#DIV/0!</v>
      </c>
      <c r="W131" s="322">
        <f t="shared" ref="W131:W153" si="9">W130</f>
        <v>0</v>
      </c>
      <c r="X131" s="322"/>
      <c r="Y131" s="323"/>
      <c r="AA131" s="332"/>
      <c r="AB131" s="316"/>
      <c r="AC131" s="318"/>
      <c r="AD131" s="325"/>
      <c r="AE131" s="325"/>
      <c r="AF131" s="325"/>
      <c r="AG131" s="325"/>
      <c r="AH131" s="325"/>
      <c r="AI131" s="325"/>
      <c r="AJ131" s="325"/>
      <c r="AK131" s="325"/>
      <c r="AL131" s="326"/>
      <c r="AM131" s="319"/>
      <c r="AN131" s="325"/>
      <c r="AO131" s="319"/>
    </row>
    <row r="132" spans="2:41" s="314" customFormat="1" ht="15.75" hidden="1" x14ac:dyDescent="0.25">
      <c r="B132" s="321">
        <f t="shared" si="1"/>
        <v>2017</v>
      </c>
      <c r="C132" s="322">
        <v>0</v>
      </c>
      <c r="D132" s="322">
        <v>0</v>
      </c>
      <c r="E132" s="331" t="e">
        <f t="shared" si="3"/>
        <v>#DIV/0!</v>
      </c>
      <c r="F132" s="331" t="e">
        <f t="shared" si="3"/>
        <v>#DIV/0!</v>
      </c>
      <c r="G132" s="331">
        <f t="shared" si="4"/>
        <v>0</v>
      </c>
      <c r="H132" s="331">
        <f t="shared" si="4"/>
        <v>0</v>
      </c>
      <c r="I132" s="331" t="e">
        <f t="shared" si="0"/>
        <v>#DIV/0!</v>
      </c>
      <c r="J132" s="322">
        <f t="shared" si="8"/>
        <v>0</v>
      </c>
      <c r="K132" s="323"/>
      <c r="M132" s="336"/>
      <c r="N132" s="316"/>
      <c r="O132" s="321">
        <f t="shared" si="2"/>
        <v>2017</v>
      </c>
      <c r="P132" s="322">
        <v>0</v>
      </c>
      <c r="Q132" s="322">
        <v>0</v>
      </c>
      <c r="R132" s="331" t="e">
        <f t="shared" si="5"/>
        <v>#DIV/0!</v>
      </c>
      <c r="S132" s="331" t="e">
        <f t="shared" si="5"/>
        <v>#DIV/0!</v>
      </c>
      <c r="T132" s="331">
        <f t="shared" si="6"/>
        <v>0</v>
      </c>
      <c r="U132" s="331">
        <f t="shared" si="6"/>
        <v>0</v>
      </c>
      <c r="V132" s="331" t="e">
        <f t="shared" si="7"/>
        <v>#DIV/0!</v>
      </c>
      <c r="W132" s="322">
        <f t="shared" si="9"/>
        <v>0</v>
      </c>
      <c r="X132" s="322"/>
      <c r="Y132" s="323"/>
      <c r="AA132" s="336"/>
      <c r="AB132" s="316"/>
      <c r="AC132" s="318"/>
      <c r="AD132" s="325"/>
      <c r="AE132" s="325"/>
      <c r="AF132" s="325"/>
      <c r="AG132" s="325"/>
      <c r="AH132" s="325"/>
      <c r="AI132" s="325"/>
      <c r="AJ132" s="325"/>
      <c r="AK132" s="325"/>
      <c r="AL132" s="326"/>
      <c r="AM132" s="319"/>
      <c r="AN132" s="337"/>
      <c r="AO132" s="319"/>
    </row>
    <row r="133" spans="2:41" s="314" customFormat="1" ht="15.75" hidden="1" x14ac:dyDescent="0.25">
      <c r="B133" s="321">
        <f t="shared" si="1"/>
        <v>2018</v>
      </c>
      <c r="C133" s="322">
        <v>0</v>
      </c>
      <c r="D133" s="322">
        <v>0</v>
      </c>
      <c r="E133" s="331" t="e">
        <f t="shared" si="3"/>
        <v>#DIV/0!</v>
      </c>
      <c r="F133" s="331" t="e">
        <f t="shared" si="3"/>
        <v>#DIV/0!</v>
      </c>
      <c r="G133" s="331">
        <f t="shared" si="4"/>
        <v>0</v>
      </c>
      <c r="H133" s="331">
        <f t="shared" si="4"/>
        <v>0</v>
      </c>
      <c r="I133" s="331" t="e">
        <f t="shared" si="0"/>
        <v>#DIV/0!</v>
      </c>
      <c r="J133" s="322">
        <f t="shared" si="8"/>
        <v>0</v>
      </c>
      <c r="K133" s="323"/>
      <c r="N133" s="316"/>
      <c r="O133" s="321">
        <f t="shared" si="2"/>
        <v>2018</v>
      </c>
      <c r="P133" s="322">
        <v>0</v>
      </c>
      <c r="Q133" s="322">
        <v>0</v>
      </c>
      <c r="R133" s="331" t="e">
        <f t="shared" si="5"/>
        <v>#DIV/0!</v>
      </c>
      <c r="S133" s="331" t="e">
        <f t="shared" si="5"/>
        <v>#DIV/0!</v>
      </c>
      <c r="T133" s="331">
        <f t="shared" si="6"/>
        <v>0</v>
      </c>
      <c r="U133" s="331">
        <f t="shared" si="6"/>
        <v>0</v>
      </c>
      <c r="V133" s="331" t="e">
        <f t="shared" si="7"/>
        <v>#DIV/0!</v>
      </c>
      <c r="W133" s="322">
        <f t="shared" si="9"/>
        <v>0</v>
      </c>
      <c r="X133" s="322"/>
      <c r="Y133" s="323"/>
      <c r="AB133" s="316"/>
      <c r="AC133" s="318"/>
      <c r="AD133" s="325"/>
      <c r="AE133" s="325"/>
      <c r="AF133" s="325"/>
      <c r="AG133" s="325"/>
      <c r="AH133" s="325"/>
      <c r="AI133" s="325"/>
      <c r="AJ133" s="325"/>
      <c r="AK133" s="325"/>
      <c r="AL133" s="326"/>
      <c r="AM133" s="319"/>
      <c r="AN133" s="319"/>
      <c r="AO133" s="319"/>
    </row>
    <row r="134" spans="2:41" s="314" customFormat="1" ht="15.75" hidden="1" x14ac:dyDescent="0.25">
      <c r="B134" s="321">
        <f t="shared" si="1"/>
        <v>2019</v>
      </c>
      <c r="C134" s="322">
        <v>0</v>
      </c>
      <c r="D134" s="322">
        <v>0</v>
      </c>
      <c r="E134" s="331" t="e">
        <f t="shared" si="3"/>
        <v>#DIV/0!</v>
      </c>
      <c r="F134" s="331" t="e">
        <f t="shared" si="3"/>
        <v>#DIV/0!</v>
      </c>
      <c r="G134" s="331">
        <f t="shared" si="4"/>
        <v>0</v>
      </c>
      <c r="H134" s="331">
        <f t="shared" si="4"/>
        <v>0</v>
      </c>
      <c r="I134" s="331" t="e">
        <f t="shared" si="0"/>
        <v>#DIV/0!</v>
      </c>
      <c r="J134" s="322">
        <f t="shared" si="8"/>
        <v>0</v>
      </c>
      <c r="K134" s="323"/>
      <c r="N134" s="316"/>
      <c r="O134" s="321">
        <f t="shared" si="2"/>
        <v>2019</v>
      </c>
      <c r="P134" s="322">
        <v>0</v>
      </c>
      <c r="Q134" s="322">
        <v>0</v>
      </c>
      <c r="R134" s="331" t="e">
        <f t="shared" si="5"/>
        <v>#DIV/0!</v>
      </c>
      <c r="S134" s="331" t="e">
        <f t="shared" si="5"/>
        <v>#DIV/0!</v>
      </c>
      <c r="T134" s="331">
        <f t="shared" si="6"/>
        <v>0</v>
      </c>
      <c r="U134" s="331">
        <f t="shared" si="6"/>
        <v>0</v>
      </c>
      <c r="V134" s="331" t="e">
        <f t="shared" si="7"/>
        <v>#DIV/0!</v>
      </c>
      <c r="W134" s="322">
        <f t="shared" si="9"/>
        <v>0</v>
      </c>
      <c r="X134" s="322"/>
      <c r="Y134" s="323"/>
      <c r="AB134" s="316"/>
      <c r="AC134" s="318"/>
      <c r="AD134" s="325"/>
      <c r="AE134" s="325"/>
      <c r="AF134" s="325"/>
      <c r="AG134" s="325"/>
      <c r="AH134" s="325"/>
      <c r="AI134" s="325"/>
      <c r="AJ134" s="325"/>
      <c r="AK134" s="325"/>
      <c r="AL134" s="326"/>
      <c r="AM134" s="319"/>
      <c r="AN134" s="319"/>
      <c r="AO134" s="319"/>
    </row>
    <row r="135" spans="2:41" s="314" customFormat="1" ht="15.75" hidden="1" x14ac:dyDescent="0.25">
      <c r="B135" s="321">
        <f t="shared" si="1"/>
        <v>2020</v>
      </c>
      <c r="C135" s="322">
        <v>0</v>
      </c>
      <c r="D135" s="322">
        <v>0</v>
      </c>
      <c r="E135" s="331" t="e">
        <f t="shared" si="3"/>
        <v>#DIV/0!</v>
      </c>
      <c r="F135" s="331" t="e">
        <f t="shared" si="3"/>
        <v>#DIV/0!</v>
      </c>
      <c r="G135" s="331">
        <f t="shared" si="4"/>
        <v>0</v>
      </c>
      <c r="H135" s="331">
        <f t="shared" si="4"/>
        <v>0</v>
      </c>
      <c r="I135" s="331" t="e">
        <f t="shared" si="0"/>
        <v>#DIV/0!</v>
      </c>
      <c r="J135" s="322">
        <f t="shared" si="8"/>
        <v>0</v>
      </c>
      <c r="K135" s="323"/>
      <c r="N135" s="316"/>
      <c r="O135" s="321">
        <f t="shared" si="2"/>
        <v>2020</v>
      </c>
      <c r="P135" s="322">
        <v>0</v>
      </c>
      <c r="Q135" s="322">
        <v>0</v>
      </c>
      <c r="R135" s="331" t="e">
        <f t="shared" si="5"/>
        <v>#DIV/0!</v>
      </c>
      <c r="S135" s="331" t="e">
        <f t="shared" si="5"/>
        <v>#DIV/0!</v>
      </c>
      <c r="T135" s="331">
        <f t="shared" si="6"/>
        <v>0</v>
      </c>
      <c r="U135" s="331">
        <f t="shared" si="6"/>
        <v>0</v>
      </c>
      <c r="V135" s="331" t="e">
        <f t="shared" si="7"/>
        <v>#DIV/0!</v>
      </c>
      <c r="W135" s="322">
        <f t="shared" si="9"/>
        <v>0</v>
      </c>
      <c r="X135" s="322"/>
      <c r="Y135" s="323"/>
      <c r="AB135" s="316"/>
      <c r="AC135" s="318"/>
      <c r="AD135" s="325"/>
      <c r="AE135" s="325"/>
      <c r="AF135" s="325"/>
      <c r="AG135" s="325"/>
      <c r="AH135" s="325"/>
      <c r="AI135" s="325"/>
      <c r="AJ135" s="325"/>
      <c r="AK135" s="325"/>
      <c r="AL135" s="326"/>
      <c r="AM135" s="319"/>
      <c r="AN135" s="319"/>
      <c r="AO135" s="319"/>
    </row>
    <row r="136" spans="2:41" s="314" customFormat="1" ht="15.75" hidden="1" x14ac:dyDescent="0.25">
      <c r="B136" s="321">
        <f t="shared" si="1"/>
        <v>2021</v>
      </c>
      <c r="C136" s="322">
        <v>0</v>
      </c>
      <c r="D136" s="322">
        <v>0</v>
      </c>
      <c r="E136" s="331" t="e">
        <f t="shared" si="3"/>
        <v>#DIV/0!</v>
      </c>
      <c r="F136" s="331" t="e">
        <f t="shared" si="3"/>
        <v>#DIV/0!</v>
      </c>
      <c r="G136" s="331">
        <f t="shared" si="4"/>
        <v>0</v>
      </c>
      <c r="H136" s="331">
        <f t="shared" si="4"/>
        <v>0</v>
      </c>
      <c r="I136" s="331" t="e">
        <f t="shared" si="0"/>
        <v>#DIV/0!</v>
      </c>
      <c r="J136" s="322">
        <f t="shared" si="8"/>
        <v>0</v>
      </c>
      <c r="K136" s="323"/>
      <c r="N136" s="316"/>
      <c r="O136" s="321">
        <f t="shared" si="2"/>
        <v>2021</v>
      </c>
      <c r="P136" s="322">
        <v>0</v>
      </c>
      <c r="Q136" s="322">
        <v>0</v>
      </c>
      <c r="R136" s="331" t="e">
        <f t="shared" si="5"/>
        <v>#DIV/0!</v>
      </c>
      <c r="S136" s="331" t="e">
        <f t="shared" si="5"/>
        <v>#DIV/0!</v>
      </c>
      <c r="T136" s="331">
        <f t="shared" si="6"/>
        <v>0</v>
      </c>
      <c r="U136" s="331">
        <f t="shared" si="6"/>
        <v>0</v>
      </c>
      <c r="V136" s="331" t="e">
        <f t="shared" si="7"/>
        <v>#DIV/0!</v>
      </c>
      <c r="W136" s="322">
        <f t="shared" si="9"/>
        <v>0</v>
      </c>
      <c r="X136" s="322"/>
      <c r="Y136" s="323"/>
      <c r="AB136" s="316"/>
      <c r="AC136" s="318"/>
      <c r="AD136" s="325"/>
      <c r="AE136" s="325"/>
      <c r="AF136" s="325"/>
      <c r="AG136" s="325"/>
      <c r="AH136" s="325"/>
      <c r="AI136" s="325"/>
      <c r="AJ136" s="325"/>
      <c r="AK136" s="325"/>
      <c r="AL136" s="326"/>
      <c r="AM136" s="319"/>
      <c r="AN136" s="319"/>
      <c r="AO136" s="319"/>
    </row>
    <row r="137" spans="2:41" s="314" customFormat="1" ht="15.75" hidden="1" x14ac:dyDescent="0.25">
      <c r="B137" s="321">
        <f t="shared" si="1"/>
        <v>2022</v>
      </c>
      <c r="C137" s="322">
        <v>0</v>
      </c>
      <c r="D137" s="322">
        <v>0</v>
      </c>
      <c r="E137" s="331" t="e">
        <f t="shared" si="3"/>
        <v>#DIV/0!</v>
      </c>
      <c r="F137" s="331" t="e">
        <f t="shared" si="3"/>
        <v>#DIV/0!</v>
      </c>
      <c r="G137" s="331">
        <f t="shared" si="4"/>
        <v>0</v>
      </c>
      <c r="H137" s="331">
        <f t="shared" si="4"/>
        <v>0</v>
      </c>
      <c r="I137" s="331" t="e">
        <f t="shared" si="0"/>
        <v>#DIV/0!</v>
      </c>
      <c r="J137" s="322">
        <f t="shared" si="8"/>
        <v>0</v>
      </c>
      <c r="K137" s="323"/>
      <c r="N137" s="316"/>
      <c r="O137" s="321">
        <f t="shared" si="2"/>
        <v>2022</v>
      </c>
      <c r="P137" s="322">
        <v>0</v>
      </c>
      <c r="Q137" s="322">
        <v>0</v>
      </c>
      <c r="R137" s="331" t="e">
        <f t="shared" si="5"/>
        <v>#DIV/0!</v>
      </c>
      <c r="S137" s="331" t="e">
        <f t="shared" si="5"/>
        <v>#DIV/0!</v>
      </c>
      <c r="T137" s="331">
        <f t="shared" si="6"/>
        <v>0</v>
      </c>
      <c r="U137" s="331">
        <f t="shared" si="6"/>
        <v>0</v>
      </c>
      <c r="V137" s="331" t="e">
        <f t="shared" si="7"/>
        <v>#DIV/0!</v>
      </c>
      <c r="W137" s="322">
        <f t="shared" si="9"/>
        <v>0</v>
      </c>
      <c r="X137" s="322"/>
      <c r="Y137" s="323"/>
      <c r="AB137" s="316"/>
      <c r="AC137" s="318"/>
      <c r="AD137" s="325"/>
      <c r="AE137" s="325"/>
      <c r="AF137" s="325"/>
      <c r="AG137" s="325"/>
      <c r="AH137" s="325"/>
      <c r="AI137" s="325"/>
      <c r="AJ137" s="325"/>
      <c r="AK137" s="325"/>
      <c r="AL137" s="326"/>
      <c r="AM137" s="319"/>
      <c r="AN137" s="319"/>
      <c r="AO137" s="319"/>
    </row>
    <row r="138" spans="2:41" s="314" customFormat="1" ht="15.75" hidden="1" x14ac:dyDescent="0.25">
      <c r="B138" s="321">
        <f t="shared" si="1"/>
        <v>2023</v>
      </c>
      <c r="C138" s="322">
        <v>0</v>
      </c>
      <c r="D138" s="322">
        <v>0</v>
      </c>
      <c r="E138" s="331" t="e">
        <f t="shared" si="3"/>
        <v>#DIV/0!</v>
      </c>
      <c r="F138" s="331" t="e">
        <f t="shared" si="3"/>
        <v>#DIV/0!</v>
      </c>
      <c r="G138" s="331">
        <f t="shared" si="4"/>
        <v>0</v>
      </c>
      <c r="H138" s="331">
        <f t="shared" si="4"/>
        <v>0</v>
      </c>
      <c r="I138" s="331" t="e">
        <f t="shared" si="0"/>
        <v>#DIV/0!</v>
      </c>
      <c r="J138" s="322">
        <f t="shared" si="8"/>
        <v>0</v>
      </c>
      <c r="K138" s="323"/>
      <c r="N138" s="316"/>
      <c r="O138" s="321">
        <f t="shared" si="2"/>
        <v>2023</v>
      </c>
      <c r="P138" s="322">
        <v>0</v>
      </c>
      <c r="Q138" s="322">
        <v>0</v>
      </c>
      <c r="R138" s="331" t="e">
        <f t="shared" si="5"/>
        <v>#DIV/0!</v>
      </c>
      <c r="S138" s="331" t="e">
        <f t="shared" si="5"/>
        <v>#DIV/0!</v>
      </c>
      <c r="T138" s="331">
        <f t="shared" si="6"/>
        <v>0</v>
      </c>
      <c r="U138" s="331">
        <f t="shared" si="6"/>
        <v>0</v>
      </c>
      <c r="V138" s="331" t="e">
        <f t="shared" si="7"/>
        <v>#DIV/0!</v>
      </c>
      <c r="W138" s="322">
        <f t="shared" si="9"/>
        <v>0</v>
      </c>
      <c r="X138" s="322"/>
      <c r="Y138" s="323"/>
      <c r="AB138" s="316"/>
      <c r="AC138" s="318"/>
      <c r="AD138" s="325"/>
      <c r="AE138" s="325"/>
      <c r="AF138" s="325"/>
      <c r="AG138" s="325"/>
      <c r="AH138" s="325"/>
      <c r="AI138" s="325"/>
      <c r="AJ138" s="325"/>
      <c r="AK138" s="325"/>
      <c r="AL138" s="326"/>
      <c r="AM138" s="319"/>
      <c r="AN138" s="319"/>
      <c r="AO138" s="319"/>
    </row>
    <row r="139" spans="2:41" s="314" customFormat="1" ht="15.75" hidden="1" x14ac:dyDescent="0.25">
      <c r="B139" s="321">
        <f t="shared" si="1"/>
        <v>2024</v>
      </c>
      <c r="C139" s="322">
        <v>0</v>
      </c>
      <c r="D139" s="322">
        <v>0</v>
      </c>
      <c r="E139" s="331" t="e">
        <f t="shared" si="3"/>
        <v>#DIV/0!</v>
      </c>
      <c r="F139" s="331" t="e">
        <f t="shared" si="3"/>
        <v>#DIV/0!</v>
      </c>
      <c r="G139" s="331">
        <f t="shared" si="4"/>
        <v>0</v>
      </c>
      <c r="H139" s="331">
        <f t="shared" si="4"/>
        <v>0</v>
      </c>
      <c r="I139" s="331" t="e">
        <f t="shared" si="0"/>
        <v>#DIV/0!</v>
      </c>
      <c r="J139" s="322">
        <f t="shared" si="8"/>
        <v>0</v>
      </c>
      <c r="K139" s="323"/>
      <c r="N139" s="316"/>
      <c r="O139" s="321">
        <f t="shared" si="2"/>
        <v>2024</v>
      </c>
      <c r="P139" s="322">
        <v>0</v>
      </c>
      <c r="Q139" s="322">
        <v>0</v>
      </c>
      <c r="R139" s="331" t="e">
        <f t="shared" si="5"/>
        <v>#DIV/0!</v>
      </c>
      <c r="S139" s="331" t="e">
        <f t="shared" si="5"/>
        <v>#DIV/0!</v>
      </c>
      <c r="T139" s="331">
        <f t="shared" si="6"/>
        <v>0</v>
      </c>
      <c r="U139" s="331">
        <f t="shared" si="6"/>
        <v>0</v>
      </c>
      <c r="V139" s="331" t="e">
        <f t="shared" si="7"/>
        <v>#DIV/0!</v>
      </c>
      <c r="W139" s="322">
        <f t="shared" si="9"/>
        <v>0</v>
      </c>
      <c r="X139" s="322"/>
      <c r="Y139" s="323"/>
      <c r="AB139" s="316"/>
      <c r="AC139" s="318"/>
      <c r="AD139" s="325"/>
      <c r="AE139" s="325"/>
      <c r="AF139" s="325"/>
      <c r="AG139" s="325"/>
      <c r="AH139" s="325"/>
      <c r="AI139" s="325"/>
      <c r="AJ139" s="325"/>
      <c r="AK139" s="325"/>
      <c r="AL139" s="326"/>
      <c r="AM139" s="319"/>
      <c r="AN139" s="319"/>
      <c r="AO139" s="319"/>
    </row>
    <row r="140" spans="2:41" s="314" customFormat="1" ht="15.75" hidden="1" x14ac:dyDescent="0.25">
      <c r="B140" s="321">
        <f t="shared" si="1"/>
        <v>2025</v>
      </c>
      <c r="C140" s="322">
        <v>0</v>
      </c>
      <c r="D140" s="322">
        <v>0</v>
      </c>
      <c r="E140" s="331" t="e">
        <f t="shared" si="3"/>
        <v>#DIV/0!</v>
      </c>
      <c r="F140" s="331" t="e">
        <f t="shared" si="3"/>
        <v>#DIV/0!</v>
      </c>
      <c r="G140" s="331">
        <f t="shared" si="4"/>
        <v>0</v>
      </c>
      <c r="H140" s="331">
        <f t="shared" si="4"/>
        <v>0</v>
      </c>
      <c r="I140" s="331" t="e">
        <f t="shared" si="0"/>
        <v>#DIV/0!</v>
      </c>
      <c r="J140" s="322">
        <f t="shared" si="8"/>
        <v>0</v>
      </c>
      <c r="K140" s="323"/>
      <c r="N140" s="316"/>
      <c r="O140" s="321">
        <f t="shared" si="2"/>
        <v>2025</v>
      </c>
      <c r="P140" s="322">
        <v>0</v>
      </c>
      <c r="Q140" s="322">
        <v>0</v>
      </c>
      <c r="R140" s="331" t="e">
        <f t="shared" si="5"/>
        <v>#DIV/0!</v>
      </c>
      <c r="S140" s="331" t="e">
        <f t="shared" si="5"/>
        <v>#DIV/0!</v>
      </c>
      <c r="T140" s="331">
        <f t="shared" si="6"/>
        <v>0</v>
      </c>
      <c r="U140" s="331">
        <f t="shared" si="6"/>
        <v>0</v>
      </c>
      <c r="V140" s="331" t="e">
        <f t="shared" si="7"/>
        <v>#DIV/0!</v>
      </c>
      <c r="W140" s="322">
        <f t="shared" si="9"/>
        <v>0</v>
      </c>
      <c r="X140" s="322"/>
      <c r="Y140" s="323"/>
      <c r="AB140" s="316"/>
      <c r="AC140" s="318"/>
      <c r="AD140" s="325"/>
      <c r="AE140" s="325"/>
      <c r="AF140" s="325"/>
      <c r="AG140" s="325"/>
      <c r="AH140" s="325"/>
      <c r="AI140" s="325"/>
      <c r="AJ140" s="325"/>
      <c r="AK140" s="325"/>
      <c r="AL140" s="326"/>
      <c r="AM140" s="319"/>
      <c r="AN140" s="319"/>
      <c r="AO140" s="319"/>
    </row>
    <row r="141" spans="2:41" s="314" customFormat="1" ht="15.75" hidden="1" x14ac:dyDescent="0.25">
      <c r="B141" s="321">
        <f t="shared" si="1"/>
        <v>2026</v>
      </c>
      <c r="C141" s="322">
        <v>0</v>
      </c>
      <c r="D141" s="322">
        <v>0</v>
      </c>
      <c r="E141" s="331" t="e">
        <f t="shared" si="3"/>
        <v>#DIV/0!</v>
      </c>
      <c r="F141" s="331" t="e">
        <f t="shared" si="3"/>
        <v>#DIV/0!</v>
      </c>
      <c r="G141" s="331">
        <f t="shared" si="4"/>
        <v>0</v>
      </c>
      <c r="H141" s="331">
        <f t="shared" si="4"/>
        <v>0</v>
      </c>
      <c r="I141" s="331" t="e">
        <f t="shared" si="0"/>
        <v>#DIV/0!</v>
      </c>
      <c r="J141" s="322">
        <f t="shared" si="8"/>
        <v>0</v>
      </c>
      <c r="K141" s="323"/>
      <c r="N141" s="316"/>
      <c r="O141" s="321">
        <f t="shared" si="2"/>
        <v>2026</v>
      </c>
      <c r="P141" s="322">
        <v>0</v>
      </c>
      <c r="Q141" s="322">
        <v>0</v>
      </c>
      <c r="R141" s="331" t="e">
        <f t="shared" si="5"/>
        <v>#DIV/0!</v>
      </c>
      <c r="S141" s="331" t="e">
        <f t="shared" si="5"/>
        <v>#DIV/0!</v>
      </c>
      <c r="T141" s="331">
        <f t="shared" si="6"/>
        <v>0</v>
      </c>
      <c r="U141" s="331">
        <f t="shared" si="6"/>
        <v>0</v>
      </c>
      <c r="V141" s="331" t="e">
        <f t="shared" si="7"/>
        <v>#DIV/0!</v>
      </c>
      <c r="W141" s="322">
        <f t="shared" si="9"/>
        <v>0</v>
      </c>
      <c r="X141" s="322"/>
      <c r="Y141" s="323"/>
      <c r="AB141" s="316"/>
      <c r="AC141" s="318"/>
      <c r="AD141" s="325"/>
      <c r="AE141" s="325"/>
      <c r="AF141" s="325"/>
      <c r="AG141" s="325"/>
      <c r="AH141" s="325"/>
      <c r="AI141" s="325"/>
      <c r="AJ141" s="325"/>
      <c r="AK141" s="325"/>
      <c r="AL141" s="326"/>
      <c r="AM141" s="319"/>
      <c r="AN141" s="319"/>
      <c r="AO141" s="319"/>
    </row>
    <row r="142" spans="2:41" s="314" customFormat="1" ht="15.75" hidden="1" x14ac:dyDescent="0.25">
      <c r="B142" s="321">
        <f t="shared" si="1"/>
        <v>2027</v>
      </c>
      <c r="C142" s="322">
        <v>0</v>
      </c>
      <c r="D142" s="322">
        <v>0</v>
      </c>
      <c r="E142" s="331" t="e">
        <f t="shared" si="3"/>
        <v>#DIV/0!</v>
      </c>
      <c r="F142" s="331" t="e">
        <f t="shared" si="3"/>
        <v>#DIV/0!</v>
      </c>
      <c r="G142" s="331">
        <f t="shared" si="4"/>
        <v>0</v>
      </c>
      <c r="H142" s="331">
        <f t="shared" si="4"/>
        <v>0</v>
      </c>
      <c r="I142" s="331" t="e">
        <f t="shared" si="0"/>
        <v>#DIV/0!</v>
      </c>
      <c r="J142" s="322">
        <f t="shared" si="8"/>
        <v>0</v>
      </c>
      <c r="K142" s="323"/>
      <c r="N142" s="316"/>
      <c r="O142" s="321">
        <f t="shared" si="2"/>
        <v>2027</v>
      </c>
      <c r="P142" s="322">
        <v>0</v>
      </c>
      <c r="Q142" s="322">
        <v>0</v>
      </c>
      <c r="R142" s="331" t="e">
        <f t="shared" si="5"/>
        <v>#DIV/0!</v>
      </c>
      <c r="S142" s="331" t="e">
        <f t="shared" si="5"/>
        <v>#DIV/0!</v>
      </c>
      <c r="T142" s="331">
        <f t="shared" si="6"/>
        <v>0</v>
      </c>
      <c r="U142" s="331">
        <f t="shared" si="6"/>
        <v>0</v>
      </c>
      <c r="V142" s="331" t="e">
        <f t="shared" si="7"/>
        <v>#DIV/0!</v>
      </c>
      <c r="W142" s="322">
        <f t="shared" si="9"/>
        <v>0</v>
      </c>
      <c r="X142" s="322"/>
      <c r="Y142" s="323"/>
      <c r="AB142" s="316"/>
      <c r="AC142" s="318"/>
      <c r="AD142" s="325"/>
      <c r="AE142" s="325"/>
      <c r="AF142" s="325"/>
      <c r="AG142" s="325"/>
      <c r="AH142" s="325"/>
      <c r="AI142" s="325"/>
      <c r="AJ142" s="325"/>
      <c r="AK142" s="325"/>
      <c r="AL142" s="326"/>
      <c r="AM142" s="319"/>
      <c r="AN142" s="319"/>
      <c r="AO142" s="319"/>
    </row>
    <row r="143" spans="2:41" s="314" customFormat="1" ht="15.75" hidden="1" x14ac:dyDescent="0.25">
      <c r="B143" s="321">
        <f t="shared" si="1"/>
        <v>2028</v>
      </c>
      <c r="C143" s="322">
        <v>0</v>
      </c>
      <c r="D143" s="322">
        <f>D124</f>
        <v>0</v>
      </c>
      <c r="E143" s="331" t="e">
        <f t="shared" si="3"/>
        <v>#DIV/0!</v>
      </c>
      <c r="F143" s="331" t="e">
        <f t="shared" si="3"/>
        <v>#DIV/0!</v>
      </c>
      <c r="G143" s="331">
        <f t="shared" si="4"/>
        <v>0</v>
      </c>
      <c r="H143" s="331">
        <f t="shared" si="4"/>
        <v>0</v>
      </c>
      <c r="I143" s="331" t="e">
        <f t="shared" si="0"/>
        <v>#DIV/0!</v>
      </c>
      <c r="J143" s="322">
        <f t="shared" si="8"/>
        <v>0</v>
      </c>
      <c r="K143" s="323"/>
      <c r="N143" s="316"/>
      <c r="O143" s="321">
        <f t="shared" si="2"/>
        <v>2028</v>
      </c>
      <c r="P143" s="322">
        <v>0</v>
      </c>
      <c r="Q143" s="322">
        <f>Q124</f>
        <v>0</v>
      </c>
      <c r="R143" s="331" t="e">
        <f t="shared" si="5"/>
        <v>#DIV/0!</v>
      </c>
      <c r="S143" s="331" t="e">
        <f t="shared" si="5"/>
        <v>#DIV/0!</v>
      </c>
      <c r="T143" s="331">
        <f t="shared" si="6"/>
        <v>0</v>
      </c>
      <c r="U143" s="331">
        <f t="shared" si="6"/>
        <v>0</v>
      </c>
      <c r="V143" s="331" t="e">
        <f t="shared" si="7"/>
        <v>#DIV/0!</v>
      </c>
      <c r="W143" s="322">
        <f t="shared" si="9"/>
        <v>0</v>
      </c>
      <c r="X143" s="322"/>
      <c r="Y143" s="323"/>
      <c r="AB143" s="316"/>
      <c r="AC143" s="318"/>
      <c r="AD143" s="325"/>
      <c r="AE143" s="325"/>
      <c r="AF143" s="325"/>
      <c r="AG143" s="325"/>
      <c r="AH143" s="325"/>
      <c r="AI143" s="325"/>
      <c r="AJ143" s="325"/>
      <c r="AK143" s="325"/>
      <c r="AL143" s="326"/>
      <c r="AM143" s="319"/>
      <c r="AN143" s="319"/>
      <c r="AO143" s="319"/>
    </row>
    <row r="144" spans="2:41" s="314" customFormat="1" ht="15.75" hidden="1" x14ac:dyDescent="0.25">
      <c r="B144" s="321">
        <f t="shared" si="1"/>
        <v>2029</v>
      </c>
      <c r="C144" s="322">
        <v>0</v>
      </c>
      <c r="D144" s="322">
        <f>D125</f>
        <v>0</v>
      </c>
      <c r="E144" s="331" t="e">
        <f t="shared" si="3"/>
        <v>#DIV/0!</v>
      </c>
      <c r="F144" s="331" t="e">
        <f t="shared" si="3"/>
        <v>#DIV/0!</v>
      </c>
      <c r="G144" s="331">
        <f t="shared" si="4"/>
        <v>0</v>
      </c>
      <c r="H144" s="331">
        <f t="shared" si="4"/>
        <v>0</v>
      </c>
      <c r="I144" s="331" t="e">
        <f t="shared" si="0"/>
        <v>#DIV/0!</v>
      </c>
      <c r="J144" s="322">
        <f t="shared" si="8"/>
        <v>0</v>
      </c>
      <c r="K144" s="323"/>
      <c r="N144" s="316"/>
      <c r="O144" s="321">
        <f t="shared" si="2"/>
        <v>2029</v>
      </c>
      <c r="P144" s="322">
        <v>0</v>
      </c>
      <c r="Q144" s="322">
        <f>Q125</f>
        <v>0</v>
      </c>
      <c r="R144" s="331" t="e">
        <f t="shared" si="5"/>
        <v>#DIV/0!</v>
      </c>
      <c r="S144" s="331" t="e">
        <f t="shared" si="5"/>
        <v>#DIV/0!</v>
      </c>
      <c r="T144" s="331">
        <f t="shared" si="6"/>
        <v>0</v>
      </c>
      <c r="U144" s="331">
        <f t="shared" si="6"/>
        <v>0</v>
      </c>
      <c r="V144" s="331" t="e">
        <f t="shared" si="7"/>
        <v>#DIV/0!</v>
      </c>
      <c r="W144" s="322">
        <f t="shared" si="9"/>
        <v>0</v>
      </c>
      <c r="X144" s="322"/>
      <c r="Y144" s="323"/>
      <c r="AB144" s="316"/>
      <c r="AC144" s="318"/>
      <c r="AD144" s="325"/>
      <c r="AE144" s="325"/>
      <c r="AF144" s="325"/>
      <c r="AG144" s="325"/>
      <c r="AH144" s="325"/>
      <c r="AI144" s="325"/>
      <c r="AJ144" s="325"/>
      <c r="AK144" s="325"/>
      <c r="AL144" s="326"/>
      <c r="AM144" s="319"/>
      <c r="AN144" s="319"/>
      <c r="AO144" s="319"/>
    </row>
    <row r="145" spans="2:41" s="314" customFormat="1" ht="15.75" hidden="1" x14ac:dyDescent="0.25">
      <c r="B145" s="321">
        <f t="shared" si="1"/>
        <v>2030</v>
      </c>
      <c r="C145" s="322">
        <v>0</v>
      </c>
      <c r="D145" s="322">
        <f t="shared" ref="D145:D153" si="10">D126</f>
        <v>0</v>
      </c>
      <c r="E145" s="331" t="e">
        <f t="shared" si="3"/>
        <v>#DIV/0!</v>
      </c>
      <c r="F145" s="331" t="e">
        <f t="shared" si="3"/>
        <v>#DIV/0!</v>
      </c>
      <c r="G145" s="331">
        <f t="shared" si="4"/>
        <v>0</v>
      </c>
      <c r="H145" s="331">
        <f t="shared" si="4"/>
        <v>0</v>
      </c>
      <c r="I145" s="331" t="e">
        <f t="shared" si="0"/>
        <v>#DIV/0!</v>
      </c>
      <c r="J145" s="322">
        <f t="shared" si="8"/>
        <v>0</v>
      </c>
      <c r="K145" s="323"/>
      <c r="N145" s="316"/>
      <c r="O145" s="321">
        <f t="shared" si="2"/>
        <v>2030</v>
      </c>
      <c r="P145" s="322">
        <v>0</v>
      </c>
      <c r="Q145" s="322">
        <f t="shared" ref="Q145:Q153" si="11">Q126</f>
        <v>0</v>
      </c>
      <c r="R145" s="331" t="e">
        <f t="shared" si="5"/>
        <v>#DIV/0!</v>
      </c>
      <c r="S145" s="331" t="e">
        <f t="shared" si="5"/>
        <v>#DIV/0!</v>
      </c>
      <c r="T145" s="331">
        <f t="shared" si="6"/>
        <v>0</v>
      </c>
      <c r="U145" s="331">
        <f t="shared" si="6"/>
        <v>0</v>
      </c>
      <c r="V145" s="331" t="e">
        <f t="shared" si="7"/>
        <v>#DIV/0!</v>
      </c>
      <c r="W145" s="322">
        <f t="shared" si="9"/>
        <v>0</v>
      </c>
      <c r="X145" s="322"/>
      <c r="Y145" s="323"/>
      <c r="AB145" s="316"/>
      <c r="AC145" s="318"/>
      <c r="AD145" s="325"/>
      <c r="AE145" s="325"/>
      <c r="AF145" s="325"/>
      <c r="AG145" s="325"/>
      <c r="AH145" s="325"/>
      <c r="AI145" s="325"/>
      <c r="AJ145" s="325"/>
      <c r="AK145" s="325"/>
      <c r="AL145" s="326"/>
      <c r="AM145" s="319"/>
      <c r="AN145" s="319"/>
      <c r="AO145" s="319"/>
    </row>
    <row r="146" spans="2:41" s="314" customFormat="1" ht="15.75" hidden="1" x14ac:dyDescent="0.25">
      <c r="B146" s="321">
        <f t="shared" si="1"/>
        <v>2031</v>
      </c>
      <c r="C146" s="322">
        <v>0</v>
      </c>
      <c r="D146" s="322">
        <f t="shared" si="10"/>
        <v>0</v>
      </c>
      <c r="E146" s="331" t="e">
        <f t="shared" ref="E146:F153" si="12">E145*$J146/$J145</f>
        <v>#DIV/0!</v>
      </c>
      <c r="F146" s="331" t="e">
        <f t="shared" si="12"/>
        <v>#DIV/0!</v>
      </c>
      <c r="G146" s="331">
        <f t="shared" ref="G146:H153" si="13">G145</f>
        <v>0</v>
      </c>
      <c r="H146" s="331">
        <f t="shared" si="13"/>
        <v>0</v>
      </c>
      <c r="I146" s="331" t="e">
        <f t="shared" si="0"/>
        <v>#DIV/0!</v>
      </c>
      <c r="J146" s="322">
        <f t="shared" si="8"/>
        <v>0</v>
      </c>
      <c r="K146" s="323"/>
      <c r="N146" s="316"/>
      <c r="O146" s="321">
        <f t="shared" si="2"/>
        <v>2031</v>
      </c>
      <c r="P146" s="322">
        <v>0</v>
      </c>
      <c r="Q146" s="322">
        <f t="shared" si="11"/>
        <v>0</v>
      </c>
      <c r="R146" s="331" t="e">
        <f t="shared" ref="R146:S153" si="14">R145*$J146/$J145</f>
        <v>#DIV/0!</v>
      </c>
      <c r="S146" s="331" t="e">
        <f t="shared" si="14"/>
        <v>#DIV/0!</v>
      </c>
      <c r="T146" s="331">
        <f t="shared" ref="T146:U153" si="15">T145</f>
        <v>0</v>
      </c>
      <c r="U146" s="331">
        <f t="shared" si="15"/>
        <v>0</v>
      </c>
      <c r="V146" s="331" t="e">
        <f t="shared" si="7"/>
        <v>#DIV/0!</v>
      </c>
      <c r="W146" s="322">
        <f t="shared" si="9"/>
        <v>0</v>
      </c>
      <c r="X146" s="322"/>
      <c r="Y146" s="323"/>
      <c r="AB146" s="316"/>
      <c r="AC146" s="318"/>
      <c r="AD146" s="325"/>
      <c r="AE146" s="325"/>
      <c r="AF146" s="325"/>
      <c r="AG146" s="325"/>
      <c r="AH146" s="325"/>
      <c r="AI146" s="325"/>
      <c r="AJ146" s="325"/>
      <c r="AK146" s="325"/>
      <c r="AL146" s="326"/>
      <c r="AM146" s="319"/>
      <c r="AN146" s="319"/>
      <c r="AO146" s="319"/>
    </row>
    <row r="147" spans="2:41" s="314" customFormat="1" ht="15.75" hidden="1" x14ac:dyDescent="0.25">
      <c r="B147" s="321">
        <f t="shared" si="1"/>
        <v>2032</v>
      </c>
      <c r="C147" s="322">
        <v>0</v>
      </c>
      <c r="D147" s="322">
        <f t="shared" si="10"/>
        <v>0</v>
      </c>
      <c r="E147" s="331" t="e">
        <f t="shared" si="12"/>
        <v>#DIV/0!</v>
      </c>
      <c r="F147" s="331" t="e">
        <f t="shared" si="12"/>
        <v>#DIV/0!</v>
      </c>
      <c r="G147" s="331">
        <f t="shared" si="13"/>
        <v>0</v>
      </c>
      <c r="H147" s="331">
        <f t="shared" si="13"/>
        <v>0</v>
      </c>
      <c r="I147" s="331" t="e">
        <f t="shared" si="0"/>
        <v>#DIV/0!</v>
      </c>
      <c r="J147" s="322">
        <f t="shared" si="8"/>
        <v>0</v>
      </c>
      <c r="K147" s="323"/>
      <c r="N147" s="316"/>
      <c r="O147" s="321">
        <f t="shared" si="2"/>
        <v>2032</v>
      </c>
      <c r="P147" s="322">
        <v>0</v>
      </c>
      <c r="Q147" s="322">
        <f t="shared" si="11"/>
        <v>0</v>
      </c>
      <c r="R147" s="331" t="e">
        <f t="shared" si="14"/>
        <v>#DIV/0!</v>
      </c>
      <c r="S147" s="331" t="e">
        <f t="shared" si="14"/>
        <v>#DIV/0!</v>
      </c>
      <c r="T147" s="331">
        <f t="shared" si="15"/>
        <v>0</v>
      </c>
      <c r="U147" s="331">
        <f t="shared" si="15"/>
        <v>0</v>
      </c>
      <c r="V147" s="331" t="e">
        <f t="shared" si="7"/>
        <v>#DIV/0!</v>
      </c>
      <c r="W147" s="322">
        <f t="shared" si="9"/>
        <v>0</v>
      </c>
      <c r="X147" s="322"/>
      <c r="Y147" s="323"/>
      <c r="AB147" s="316"/>
      <c r="AC147" s="318"/>
      <c r="AD147" s="325"/>
      <c r="AE147" s="325"/>
      <c r="AF147" s="325"/>
      <c r="AG147" s="325"/>
      <c r="AH147" s="325"/>
      <c r="AI147" s="325"/>
      <c r="AJ147" s="325"/>
      <c r="AK147" s="325"/>
      <c r="AL147" s="326"/>
      <c r="AM147" s="319"/>
      <c r="AN147" s="319"/>
      <c r="AO147" s="319"/>
    </row>
    <row r="148" spans="2:41" s="314" customFormat="1" ht="15.75" hidden="1" x14ac:dyDescent="0.25">
      <c r="B148" s="321">
        <f t="shared" si="1"/>
        <v>2033</v>
      </c>
      <c r="C148" s="322">
        <v>0</v>
      </c>
      <c r="D148" s="322">
        <f t="shared" si="10"/>
        <v>0</v>
      </c>
      <c r="E148" s="331" t="e">
        <f t="shared" si="12"/>
        <v>#DIV/0!</v>
      </c>
      <c r="F148" s="331" t="e">
        <f t="shared" si="12"/>
        <v>#DIV/0!</v>
      </c>
      <c r="G148" s="331">
        <f t="shared" si="13"/>
        <v>0</v>
      </c>
      <c r="H148" s="331">
        <f t="shared" si="13"/>
        <v>0</v>
      </c>
      <c r="I148" s="331" t="e">
        <f t="shared" si="0"/>
        <v>#DIV/0!</v>
      </c>
      <c r="J148" s="322">
        <f t="shared" si="8"/>
        <v>0</v>
      </c>
      <c r="K148" s="323"/>
      <c r="N148" s="316"/>
      <c r="O148" s="321">
        <f t="shared" si="2"/>
        <v>2033</v>
      </c>
      <c r="P148" s="322">
        <v>0</v>
      </c>
      <c r="Q148" s="322">
        <f t="shared" si="11"/>
        <v>0</v>
      </c>
      <c r="R148" s="331" t="e">
        <f t="shared" si="14"/>
        <v>#DIV/0!</v>
      </c>
      <c r="S148" s="331" t="e">
        <f t="shared" si="14"/>
        <v>#DIV/0!</v>
      </c>
      <c r="T148" s="331">
        <f t="shared" si="15"/>
        <v>0</v>
      </c>
      <c r="U148" s="331">
        <f t="shared" si="15"/>
        <v>0</v>
      </c>
      <c r="V148" s="331" t="e">
        <f t="shared" si="7"/>
        <v>#DIV/0!</v>
      </c>
      <c r="W148" s="322">
        <f t="shared" si="9"/>
        <v>0</v>
      </c>
      <c r="X148" s="322"/>
      <c r="Y148" s="323"/>
      <c r="AB148" s="316"/>
      <c r="AC148" s="318"/>
      <c r="AD148" s="325"/>
      <c r="AE148" s="325"/>
      <c r="AF148" s="325"/>
      <c r="AG148" s="325"/>
      <c r="AH148" s="325"/>
      <c r="AI148" s="325"/>
      <c r="AJ148" s="325"/>
      <c r="AK148" s="325"/>
      <c r="AL148" s="326"/>
      <c r="AM148" s="319"/>
      <c r="AN148" s="319"/>
      <c r="AO148" s="319"/>
    </row>
    <row r="149" spans="2:41" s="314" customFormat="1" ht="15.75" hidden="1" x14ac:dyDescent="0.25">
      <c r="B149" s="321">
        <f t="shared" si="1"/>
        <v>2034</v>
      </c>
      <c r="C149" s="322">
        <v>0</v>
      </c>
      <c r="D149" s="322">
        <f t="shared" si="10"/>
        <v>0</v>
      </c>
      <c r="E149" s="331" t="e">
        <f t="shared" si="12"/>
        <v>#DIV/0!</v>
      </c>
      <c r="F149" s="331" t="e">
        <f t="shared" si="12"/>
        <v>#DIV/0!</v>
      </c>
      <c r="G149" s="331">
        <f t="shared" si="13"/>
        <v>0</v>
      </c>
      <c r="H149" s="331">
        <f t="shared" si="13"/>
        <v>0</v>
      </c>
      <c r="I149" s="331" t="e">
        <f t="shared" si="0"/>
        <v>#DIV/0!</v>
      </c>
      <c r="J149" s="322">
        <f t="shared" si="8"/>
        <v>0</v>
      </c>
      <c r="K149" s="323"/>
      <c r="N149" s="316"/>
      <c r="O149" s="321">
        <f t="shared" si="2"/>
        <v>2034</v>
      </c>
      <c r="P149" s="322">
        <v>0</v>
      </c>
      <c r="Q149" s="322">
        <f t="shared" si="11"/>
        <v>0</v>
      </c>
      <c r="R149" s="331" t="e">
        <f t="shared" si="14"/>
        <v>#DIV/0!</v>
      </c>
      <c r="S149" s="331" t="e">
        <f t="shared" si="14"/>
        <v>#DIV/0!</v>
      </c>
      <c r="T149" s="331">
        <f t="shared" si="15"/>
        <v>0</v>
      </c>
      <c r="U149" s="331">
        <f t="shared" si="15"/>
        <v>0</v>
      </c>
      <c r="V149" s="331" t="e">
        <f t="shared" si="7"/>
        <v>#DIV/0!</v>
      </c>
      <c r="W149" s="322">
        <f t="shared" si="9"/>
        <v>0</v>
      </c>
      <c r="X149" s="322"/>
      <c r="Y149" s="323"/>
      <c r="AB149" s="316"/>
      <c r="AC149" s="318"/>
      <c r="AD149" s="325"/>
      <c r="AE149" s="325"/>
      <c r="AF149" s="325"/>
      <c r="AG149" s="325"/>
      <c r="AH149" s="325"/>
      <c r="AI149" s="325"/>
      <c r="AJ149" s="325"/>
      <c r="AK149" s="325"/>
      <c r="AL149" s="326"/>
      <c r="AM149" s="319"/>
      <c r="AN149" s="319"/>
      <c r="AO149" s="319"/>
    </row>
    <row r="150" spans="2:41" s="314" customFormat="1" ht="15.75" hidden="1" x14ac:dyDescent="0.25">
      <c r="B150" s="321">
        <f t="shared" si="1"/>
        <v>2035</v>
      </c>
      <c r="C150" s="322">
        <v>0</v>
      </c>
      <c r="D150" s="322">
        <f t="shared" si="10"/>
        <v>0</v>
      </c>
      <c r="E150" s="331" t="e">
        <f t="shared" si="12"/>
        <v>#DIV/0!</v>
      </c>
      <c r="F150" s="331" t="e">
        <f t="shared" si="12"/>
        <v>#DIV/0!</v>
      </c>
      <c r="G150" s="331">
        <f t="shared" si="13"/>
        <v>0</v>
      </c>
      <c r="H150" s="331">
        <f t="shared" si="13"/>
        <v>0</v>
      </c>
      <c r="I150" s="331" t="e">
        <f t="shared" si="0"/>
        <v>#DIV/0!</v>
      </c>
      <c r="J150" s="322">
        <f t="shared" si="8"/>
        <v>0</v>
      </c>
      <c r="K150" s="323"/>
      <c r="N150" s="316"/>
      <c r="O150" s="321">
        <f t="shared" si="2"/>
        <v>2035</v>
      </c>
      <c r="P150" s="322">
        <v>0</v>
      </c>
      <c r="Q150" s="322">
        <f t="shared" si="11"/>
        <v>0</v>
      </c>
      <c r="R150" s="331" t="e">
        <f t="shared" si="14"/>
        <v>#DIV/0!</v>
      </c>
      <c r="S150" s="331" t="e">
        <f t="shared" si="14"/>
        <v>#DIV/0!</v>
      </c>
      <c r="T150" s="331">
        <f t="shared" si="15"/>
        <v>0</v>
      </c>
      <c r="U150" s="331">
        <f t="shared" si="15"/>
        <v>0</v>
      </c>
      <c r="V150" s="331" t="e">
        <f t="shared" si="7"/>
        <v>#DIV/0!</v>
      </c>
      <c r="W150" s="322">
        <f t="shared" si="9"/>
        <v>0</v>
      </c>
      <c r="X150" s="322"/>
      <c r="Y150" s="323"/>
      <c r="AB150" s="316"/>
      <c r="AC150" s="318"/>
      <c r="AD150" s="325"/>
      <c r="AE150" s="325"/>
      <c r="AF150" s="325"/>
      <c r="AG150" s="325"/>
      <c r="AH150" s="325"/>
      <c r="AI150" s="325"/>
      <c r="AJ150" s="325"/>
      <c r="AK150" s="325"/>
      <c r="AL150" s="326"/>
      <c r="AM150" s="319"/>
      <c r="AN150" s="319"/>
      <c r="AO150" s="319"/>
    </row>
    <row r="151" spans="2:41" s="314" customFormat="1" ht="15.75" hidden="1" x14ac:dyDescent="0.25">
      <c r="B151" s="321">
        <f t="shared" si="1"/>
        <v>2036</v>
      </c>
      <c r="C151" s="322">
        <v>0</v>
      </c>
      <c r="D151" s="322">
        <f t="shared" si="10"/>
        <v>0</v>
      </c>
      <c r="E151" s="331" t="e">
        <f t="shared" si="12"/>
        <v>#DIV/0!</v>
      </c>
      <c r="F151" s="331" t="e">
        <f t="shared" si="12"/>
        <v>#DIV/0!</v>
      </c>
      <c r="G151" s="331">
        <f t="shared" si="13"/>
        <v>0</v>
      </c>
      <c r="H151" s="331">
        <f t="shared" si="13"/>
        <v>0</v>
      </c>
      <c r="I151" s="331" t="e">
        <f t="shared" si="0"/>
        <v>#DIV/0!</v>
      </c>
      <c r="J151" s="322">
        <f t="shared" si="8"/>
        <v>0</v>
      </c>
      <c r="K151" s="323"/>
      <c r="N151" s="316"/>
      <c r="O151" s="321">
        <f t="shared" si="2"/>
        <v>2036</v>
      </c>
      <c r="P151" s="322">
        <v>0</v>
      </c>
      <c r="Q151" s="322">
        <f t="shared" si="11"/>
        <v>0</v>
      </c>
      <c r="R151" s="331" t="e">
        <f t="shared" si="14"/>
        <v>#DIV/0!</v>
      </c>
      <c r="S151" s="331" t="e">
        <f t="shared" si="14"/>
        <v>#DIV/0!</v>
      </c>
      <c r="T151" s="331">
        <f t="shared" si="15"/>
        <v>0</v>
      </c>
      <c r="U151" s="331">
        <f t="shared" si="15"/>
        <v>0</v>
      </c>
      <c r="V151" s="331" t="e">
        <f t="shared" si="7"/>
        <v>#DIV/0!</v>
      </c>
      <c r="W151" s="322">
        <f t="shared" si="9"/>
        <v>0</v>
      </c>
      <c r="X151" s="322"/>
      <c r="Y151" s="323"/>
      <c r="AB151" s="316"/>
      <c r="AC151" s="318"/>
      <c r="AD151" s="325"/>
      <c r="AE151" s="325"/>
      <c r="AF151" s="325"/>
      <c r="AG151" s="325"/>
      <c r="AH151" s="325"/>
      <c r="AI151" s="325"/>
      <c r="AJ151" s="325"/>
      <c r="AK151" s="325"/>
      <c r="AL151" s="326"/>
      <c r="AM151" s="319"/>
      <c r="AN151" s="319"/>
      <c r="AO151" s="319"/>
    </row>
    <row r="152" spans="2:41" s="314" customFormat="1" ht="15.75" hidden="1" x14ac:dyDescent="0.25">
      <c r="B152" s="321">
        <v>2037</v>
      </c>
      <c r="C152" s="322">
        <v>0</v>
      </c>
      <c r="D152" s="322">
        <f t="shared" si="10"/>
        <v>0</v>
      </c>
      <c r="E152" s="331" t="e">
        <f t="shared" si="12"/>
        <v>#DIV/0!</v>
      </c>
      <c r="F152" s="331" t="e">
        <f t="shared" si="12"/>
        <v>#DIV/0!</v>
      </c>
      <c r="G152" s="331">
        <f t="shared" si="13"/>
        <v>0</v>
      </c>
      <c r="H152" s="331">
        <f t="shared" si="13"/>
        <v>0</v>
      </c>
      <c r="I152" s="331" t="e">
        <f t="shared" si="0"/>
        <v>#DIV/0!</v>
      </c>
      <c r="J152" s="322">
        <f t="shared" si="8"/>
        <v>0</v>
      </c>
      <c r="K152" s="323"/>
      <c r="N152" s="316"/>
      <c r="O152" s="321">
        <v>2037</v>
      </c>
      <c r="P152" s="322">
        <v>0</v>
      </c>
      <c r="Q152" s="322">
        <f t="shared" si="11"/>
        <v>0</v>
      </c>
      <c r="R152" s="331" t="e">
        <f t="shared" si="14"/>
        <v>#DIV/0!</v>
      </c>
      <c r="S152" s="331" t="e">
        <f t="shared" si="14"/>
        <v>#DIV/0!</v>
      </c>
      <c r="T152" s="331">
        <f t="shared" si="15"/>
        <v>0</v>
      </c>
      <c r="U152" s="331">
        <f t="shared" si="15"/>
        <v>0</v>
      </c>
      <c r="V152" s="331" t="e">
        <f t="shared" si="7"/>
        <v>#DIV/0!</v>
      </c>
      <c r="W152" s="322">
        <f t="shared" si="9"/>
        <v>0</v>
      </c>
      <c r="X152" s="322"/>
      <c r="Y152" s="323"/>
      <c r="AB152" s="316"/>
      <c r="AC152" s="318"/>
      <c r="AD152" s="325"/>
      <c r="AE152" s="325"/>
      <c r="AF152" s="325"/>
      <c r="AG152" s="325"/>
      <c r="AH152" s="325"/>
      <c r="AI152" s="325"/>
      <c r="AJ152" s="325"/>
      <c r="AK152" s="325"/>
      <c r="AL152" s="326"/>
      <c r="AM152" s="319"/>
      <c r="AN152" s="319"/>
      <c r="AO152" s="319"/>
    </row>
    <row r="153" spans="2:41" s="314" customFormat="1" ht="15.75" hidden="1" x14ac:dyDescent="0.25">
      <c r="B153" s="321">
        <v>2038</v>
      </c>
      <c r="C153" s="322">
        <v>0</v>
      </c>
      <c r="D153" s="322">
        <f t="shared" si="10"/>
        <v>0</v>
      </c>
      <c r="E153" s="331" t="e">
        <f t="shared" si="12"/>
        <v>#DIV/0!</v>
      </c>
      <c r="F153" s="331" t="e">
        <f t="shared" si="12"/>
        <v>#DIV/0!</v>
      </c>
      <c r="G153" s="331">
        <f t="shared" si="13"/>
        <v>0</v>
      </c>
      <c r="H153" s="331">
        <f t="shared" si="13"/>
        <v>0</v>
      </c>
      <c r="I153" s="331" t="e">
        <f t="shared" si="0"/>
        <v>#DIV/0!</v>
      </c>
      <c r="J153" s="322">
        <f t="shared" si="8"/>
        <v>0</v>
      </c>
      <c r="K153" s="323"/>
      <c r="N153" s="316"/>
      <c r="O153" s="321">
        <v>2038</v>
      </c>
      <c r="P153" s="322">
        <v>0</v>
      </c>
      <c r="Q153" s="322">
        <f t="shared" si="11"/>
        <v>0</v>
      </c>
      <c r="R153" s="331" t="e">
        <f t="shared" si="14"/>
        <v>#DIV/0!</v>
      </c>
      <c r="S153" s="331" t="e">
        <f t="shared" si="14"/>
        <v>#DIV/0!</v>
      </c>
      <c r="T153" s="331">
        <f t="shared" si="15"/>
        <v>0</v>
      </c>
      <c r="U153" s="331">
        <f t="shared" si="15"/>
        <v>0</v>
      </c>
      <c r="V153" s="331" t="e">
        <f t="shared" si="7"/>
        <v>#DIV/0!</v>
      </c>
      <c r="W153" s="322">
        <f t="shared" si="9"/>
        <v>0</v>
      </c>
      <c r="X153" s="322"/>
      <c r="Y153" s="323"/>
      <c r="AB153" s="316"/>
      <c r="AC153" s="318"/>
      <c r="AD153" s="325"/>
      <c r="AE153" s="325"/>
      <c r="AF153" s="325"/>
      <c r="AG153" s="325"/>
      <c r="AH153" s="325"/>
      <c r="AI153" s="325"/>
      <c r="AJ153" s="325"/>
      <c r="AK153" s="325"/>
      <c r="AL153" s="326"/>
      <c r="AM153" s="319"/>
      <c r="AN153" s="319"/>
      <c r="AO153" s="319"/>
    </row>
    <row r="154" spans="2:41" s="314" customFormat="1" ht="15.75" hidden="1" x14ac:dyDescent="0.25">
      <c r="B154" s="338" t="s">
        <v>261</v>
      </c>
      <c r="C154" s="322">
        <f>-SUM(C124:C128)+25*(SUM(C125:C128)/40)</f>
        <v>0</v>
      </c>
      <c r="D154" s="322">
        <f>-SUM(D143:D147)+6*(SUM(D143:D147)/15)</f>
        <v>0</v>
      </c>
      <c r="E154" s="322">
        <v>0</v>
      </c>
      <c r="F154" s="322">
        <v>0</v>
      </c>
      <c r="G154" s="331">
        <v>0</v>
      </c>
      <c r="H154" s="331">
        <v>0</v>
      </c>
      <c r="I154" s="331">
        <f t="shared" si="0"/>
        <v>0</v>
      </c>
      <c r="J154" s="322">
        <v>0</v>
      </c>
      <c r="K154" s="323"/>
      <c r="N154" s="316"/>
      <c r="O154" s="338" t="s">
        <v>261</v>
      </c>
      <c r="P154" s="322">
        <f>-SUM(P124:P128)+25*(SUM(P125:P128)/40)</f>
        <v>0</v>
      </c>
      <c r="Q154" s="322">
        <f>-SUM(Q143:Q147)+6*(SUM(Q143:Q147)/15)</f>
        <v>0</v>
      </c>
      <c r="R154" s="322">
        <v>0</v>
      </c>
      <c r="S154" s="322">
        <v>0</v>
      </c>
      <c r="T154" s="331">
        <v>0</v>
      </c>
      <c r="U154" s="331">
        <v>0</v>
      </c>
      <c r="V154" s="331">
        <f t="shared" si="7"/>
        <v>0</v>
      </c>
      <c r="W154" s="322">
        <v>0</v>
      </c>
      <c r="X154" s="322"/>
      <c r="Y154" s="323"/>
      <c r="AB154" s="316"/>
      <c r="AC154" s="319"/>
      <c r="AD154" s="325"/>
      <c r="AE154" s="325"/>
      <c r="AF154" s="325"/>
      <c r="AG154" s="325"/>
      <c r="AH154" s="325"/>
      <c r="AI154" s="325"/>
      <c r="AJ154" s="325"/>
      <c r="AK154" s="325"/>
      <c r="AL154" s="326"/>
      <c r="AM154" s="319"/>
      <c r="AN154" s="319"/>
      <c r="AO154" s="319"/>
    </row>
    <row r="155" spans="2:41" s="314" customFormat="1" ht="15.75" hidden="1" x14ac:dyDescent="0.25">
      <c r="B155" s="320" t="s">
        <v>262</v>
      </c>
      <c r="C155" s="339">
        <f>C124+NPV(0.04,C125:C154)</f>
        <v>0</v>
      </c>
      <c r="D155" s="339">
        <f>D124+NPV(0.04,D125:D154)</f>
        <v>0</v>
      </c>
      <c r="E155" s="339"/>
      <c r="F155" s="339"/>
      <c r="G155" s="339"/>
      <c r="H155" s="339"/>
      <c r="I155" s="339" t="e">
        <f>I124+NPV(0.04,I125:I154)</f>
        <v>#DIV/0!</v>
      </c>
      <c r="J155" s="339">
        <f>J124+NPV(0.04,J125:J154)</f>
        <v>0</v>
      </c>
      <c r="K155" s="340" t="e">
        <f>+(C155+D155+I155)/J155</f>
        <v>#DIV/0!</v>
      </c>
      <c r="N155" s="316"/>
      <c r="O155" s="320" t="s">
        <v>262</v>
      </c>
      <c r="P155" s="339">
        <f>P124+NPV(0.04,P125:P154)</f>
        <v>0</v>
      </c>
      <c r="Q155" s="339">
        <f>Q124+NPV(0.04,Q125:Q154)</f>
        <v>0</v>
      </c>
      <c r="R155" s="339"/>
      <c r="S155" s="339"/>
      <c r="T155" s="339"/>
      <c r="U155" s="339"/>
      <c r="V155" s="339" t="e">
        <f>V124+NPV(0.04,V125:V154)</f>
        <v>#DIV/0!</v>
      </c>
      <c r="W155" s="339">
        <f>W124+NPV(0.04,W125:W154)</f>
        <v>0</v>
      </c>
      <c r="X155" s="339"/>
      <c r="Y155" s="340" t="e">
        <f>+(P155+Q155+V155)/W155</f>
        <v>#DIV/0!</v>
      </c>
      <c r="AB155" s="316"/>
      <c r="AC155" s="319"/>
      <c r="AD155" s="325"/>
      <c r="AE155" s="325"/>
      <c r="AF155" s="325"/>
      <c r="AG155" s="325"/>
      <c r="AH155" s="325"/>
      <c r="AI155" s="325"/>
      <c r="AJ155" s="325"/>
      <c r="AK155" s="325"/>
      <c r="AL155" s="341"/>
      <c r="AM155" s="319"/>
      <c r="AN155" s="319"/>
      <c r="AO155" s="319"/>
    </row>
    <row r="156" spans="2:41" hidden="1" x14ac:dyDescent="0.2"/>
    <row r="157" spans="2:41" s="306" customFormat="1" ht="9.6" hidden="1" customHeight="1" x14ac:dyDescent="0.2"/>
    <row r="158" spans="2:41" hidden="1" x14ac:dyDescent="0.2"/>
    <row r="159" spans="2:41" ht="15" hidden="1" x14ac:dyDescent="0.25">
      <c r="B159" s="276" t="str">
        <f>B30</f>
        <v>Analysis 2</v>
      </c>
    </row>
    <row r="160" spans="2:41" hidden="1" x14ac:dyDescent="0.2"/>
    <row r="161" spans="2:41" ht="15" hidden="1" x14ac:dyDescent="0.25">
      <c r="B161" s="312" t="s">
        <v>174</v>
      </c>
      <c r="O161" s="312" t="s">
        <v>175</v>
      </c>
      <c r="AC161" s="312" t="s">
        <v>206</v>
      </c>
    </row>
    <row r="162" spans="2:41" hidden="1" x14ac:dyDescent="0.2"/>
    <row r="163" spans="2:41" s="314" customFormat="1" ht="15.75" hidden="1" x14ac:dyDescent="0.25">
      <c r="B163" s="315" t="s">
        <v>242</v>
      </c>
      <c r="C163" s="1033" t="s">
        <v>243</v>
      </c>
      <c r="D163" s="1034"/>
      <c r="E163" s="1033" t="s">
        <v>244</v>
      </c>
      <c r="F163" s="1035"/>
      <c r="G163" s="1035"/>
      <c r="H163" s="1035"/>
      <c r="I163" s="1035"/>
      <c r="J163" s="1034"/>
      <c r="K163" s="315" t="s">
        <v>245</v>
      </c>
      <c r="N163" s="316"/>
      <c r="O163" s="315" t="s">
        <v>242</v>
      </c>
      <c r="P163" s="1033" t="s">
        <v>243</v>
      </c>
      <c r="Q163" s="1034"/>
      <c r="R163" s="1033" t="s">
        <v>244</v>
      </c>
      <c r="S163" s="1035"/>
      <c r="T163" s="1035"/>
      <c r="U163" s="1035"/>
      <c r="V163" s="1035"/>
      <c r="W163" s="1034"/>
      <c r="X163" s="317"/>
      <c r="Y163" s="315" t="s">
        <v>245</v>
      </c>
      <c r="AB163" s="316"/>
      <c r="AC163" s="315" t="s">
        <v>242</v>
      </c>
      <c r="AD163" s="1033" t="s">
        <v>243</v>
      </c>
      <c r="AE163" s="1034"/>
      <c r="AF163" s="1033" t="s">
        <v>244</v>
      </c>
      <c r="AG163" s="1035"/>
      <c r="AH163" s="1035"/>
      <c r="AI163" s="1035"/>
      <c r="AJ163" s="1035"/>
      <c r="AK163" s="1034"/>
      <c r="AL163" s="315" t="s">
        <v>245</v>
      </c>
      <c r="AO163" s="316"/>
    </row>
    <row r="164" spans="2:41" s="314" customFormat="1" ht="15.75" hidden="1" x14ac:dyDescent="0.25">
      <c r="B164" s="320"/>
      <c r="C164" s="315" t="s">
        <v>180</v>
      </c>
      <c r="D164" s="315" t="s">
        <v>246</v>
      </c>
      <c r="E164" s="315" t="s">
        <v>247</v>
      </c>
      <c r="F164" s="315" t="s">
        <v>248</v>
      </c>
      <c r="G164" s="315" t="s">
        <v>249</v>
      </c>
      <c r="H164" s="315" t="s">
        <v>250</v>
      </c>
      <c r="I164" s="315" t="s">
        <v>251</v>
      </c>
      <c r="J164" s="315" t="s">
        <v>252</v>
      </c>
      <c r="K164" s="315" t="s">
        <v>253</v>
      </c>
      <c r="N164" s="316"/>
      <c r="O164" s="320"/>
      <c r="P164" s="315" t="s">
        <v>180</v>
      </c>
      <c r="Q164" s="315" t="s">
        <v>246</v>
      </c>
      <c r="R164" s="315" t="s">
        <v>247</v>
      </c>
      <c r="S164" s="315" t="s">
        <v>248</v>
      </c>
      <c r="T164" s="315" t="s">
        <v>249</v>
      </c>
      <c r="U164" s="315" t="s">
        <v>250</v>
      </c>
      <c r="V164" s="315" t="s">
        <v>251</v>
      </c>
      <c r="W164" s="315" t="s">
        <v>252</v>
      </c>
      <c r="X164" s="315"/>
      <c r="Y164" s="315" t="s">
        <v>253</v>
      </c>
      <c r="AB164" s="316"/>
      <c r="AC164" s="320"/>
      <c r="AD164" s="315" t="s">
        <v>180</v>
      </c>
      <c r="AE164" s="315" t="s">
        <v>246</v>
      </c>
      <c r="AF164" s="315" t="s">
        <v>247</v>
      </c>
      <c r="AG164" s="315" t="s">
        <v>248</v>
      </c>
      <c r="AH164" s="315" t="s">
        <v>249</v>
      </c>
      <c r="AI164" s="315" t="s">
        <v>250</v>
      </c>
      <c r="AJ164" s="315" t="s">
        <v>251</v>
      </c>
      <c r="AK164" s="315" t="s">
        <v>252</v>
      </c>
      <c r="AL164" s="315" t="s">
        <v>253</v>
      </c>
      <c r="AO164" s="316"/>
    </row>
    <row r="165" spans="2:41" s="314" customFormat="1" ht="15.75" hidden="1" x14ac:dyDescent="0.25">
      <c r="B165" s="320"/>
      <c r="C165" s="320"/>
      <c r="D165" s="315" t="s">
        <v>254</v>
      </c>
      <c r="E165" s="315" t="s">
        <v>255</v>
      </c>
      <c r="F165" s="315" t="s">
        <v>255</v>
      </c>
      <c r="G165" s="315" t="s">
        <v>255</v>
      </c>
      <c r="H165" s="315" t="s">
        <v>255</v>
      </c>
      <c r="I165" s="315" t="s">
        <v>256</v>
      </c>
      <c r="J165" s="315" t="s">
        <v>257</v>
      </c>
      <c r="K165" s="315" t="s">
        <v>258</v>
      </c>
      <c r="N165" s="316"/>
      <c r="O165" s="320"/>
      <c r="P165" s="320"/>
      <c r="Q165" s="315" t="s">
        <v>254</v>
      </c>
      <c r="R165" s="315" t="s">
        <v>255</v>
      </c>
      <c r="S165" s="315" t="s">
        <v>255</v>
      </c>
      <c r="T165" s="315" t="s">
        <v>255</v>
      </c>
      <c r="U165" s="315" t="s">
        <v>255</v>
      </c>
      <c r="V165" s="315" t="s">
        <v>256</v>
      </c>
      <c r="W165" s="315" t="s">
        <v>257</v>
      </c>
      <c r="X165" s="315"/>
      <c r="Y165" s="315" t="s">
        <v>258</v>
      </c>
      <c r="AB165" s="316"/>
      <c r="AC165" s="320"/>
      <c r="AD165" s="320"/>
      <c r="AE165" s="315" t="s">
        <v>254</v>
      </c>
      <c r="AF165" s="315" t="s">
        <v>255</v>
      </c>
      <c r="AG165" s="315" t="s">
        <v>255</v>
      </c>
      <c r="AH165" s="315" t="s">
        <v>255</v>
      </c>
      <c r="AI165" s="315" t="s">
        <v>255</v>
      </c>
      <c r="AJ165" s="315" t="s">
        <v>256</v>
      </c>
      <c r="AK165" s="315" t="s">
        <v>257</v>
      </c>
      <c r="AL165" s="315" t="s">
        <v>258</v>
      </c>
      <c r="AO165" s="316"/>
    </row>
    <row r="166" spans="2:41" s="314" customFormat="1" ht="15.75" hidden="1" x14ac:dyDescent="0.25">
      <c r="B166" s="320"/>
      <c r="C166" s="320"/>
      <c r="D166" s="320"/>
      <c r="E166" s="320"/>
      <c r="F166" s="320"/>
      <c r="G166" s="320"/>
      <c r="H166" s="320"/>
      <c r="I166" s="315" t="s">
        <v>258</v>
      </c>
      <c r="J166" s="315" t="s">
        <v>195</v>
      </c>
      <c r="K166" s="315" t="s">
        <v>259</v>
      </c>
      <c r="N166" s="316"/>
      <c r="O166" s="320"/>
      <c r="P166" s="320"/>
      <c r="Q166" s="320"/>
      <c r="R166" s="320"/>
      <c r="S166" s="320"/>
      <c r="T166" s="320"/>
      <c r="U166" s="320"/>
      <c r="V166" s="315" t="s">
        <v>258</v>
      </c>
      <c r="W166" s="315" t="s">
        <v>195</v>
      </c>
      <c r="X166" s="315"/>
      <c r="Y166" s="315" t="s">
        <v>259</v>
      </c>
      <c r="AB166" s="316"/>
      <c r="AC166" s="320"/>
      <c r="AD166" s="320"/>
      <c r="AE166" s="320"/>
      <c r="AF166" s="320"/>
      <c r="AG166" s="320"/>
      <c r="AH166" s="320"/>
      <c r="AI166" s="320"/>
      <c r="AJ166" s="315" t="s">
        <v>258</v>
      </c>
      <c r="AK166" s="315" t="s">
        <v>195</v>
      </c>
      <c r="AL166" s="315" t="s">
        <v>259</v>
      </c>
      <c r="AO166" s="316"/>
    </row>
    <row r="167" spans="2:41" s="314" customFormat="1" ht="15.75" hidden="1" x14ac:dyDescent="0.25">
      <c r="B167" s="320"/>
      <c r="C167" s="315" t="s">
        <v>179</v>
      </c>
      <c r="D167" s="315" t="s">
        <v>179</v>
      </c>
      <c r="E167" s="315" t="s">
        <v>179</v>
      </c>
      <c r="F167" s="315" t="s">
        <v>179</v>
      </c>
      <c r="G167" s="315" t="s">
        <v>179</v>
      </c>
      <c r="H167" s="315" t="s">
        <v>179</v>
      </c>
      <c r="I167" s="315" t="s">
        <v>179</v>
      </c>
      <c r="J167" s="315" t="s">
        <v>183</v>
      </c>
      <c r="K167" s="315" t="s">
        <v>260</v>
      </c>
      <c r="N167" s="316"/>
      <c r="O167" s="320"/>
      <c r="P167" s="315" t="s">
        <v>179</v>
      </c>
      <c r="Q167" s="315" t="s">
        <v>179</v>
      </c>
      <c r="R167" s="315" t="s">
        <v>179</v>
      </c>
      <c r="S167" s="315" t="s">
        <v>179</v>
      </c>
      <c r="T167" s="315" t="s">
        <v>179</v>
      </c>
      <c r="U167" s="315" t="s">
        <v>179</v>
      </c>
      <c r="V167" s="315" t="s">
        <v>179</v>
      </c>
      <c r="W167" s="315" t="s">
        <v>183</v>
      </c>
      <c r="X167" s="315"/>
      <c r="Y167" s="315" t="s">
        <v>260</v>
      </c>
      <c r="AB167" s="316"/>
      <c r="AC167" s="320"/>
      <c r="AD167" s="315" t="s">
        <v>179</v>
      </c>
      <c r="AE167" s="315" t="s">
        <v>179</v>
      </c>
      <c r="AF167" s="315" t="s">
        <v>179</v>
      </c>
      <c r="AG167" s="315" t="s">
        <v>179</v>
      </c>
      <c r="AH167" s="315" t="s">
        <v>179</v>
      </c>
      <c r="AI167" s="315" t="s">
        <v>179</v>
      </c>
      <c r="AJ167" s="315" t="s">
        <v>179</v>
      </c>
      <c r="AK167" s="315" t="s">
        <v>183</v>
      </c>
      <c r="AL167" s="315" t="s">
        <v>260</v>
      </c>
      <c r="AO167" s="316"/>
    </row>
    <row r="168" spans="2:41" s="314" customFormat="1" ht="15.75" hidden="1" x14ac:dyDescent="0.25">
      <c r="B168" s="321">
        <v>2009</v>
      </c>
      <c r="C168" s="322">
        <v>0</v>
      </c>
      <c r="D168" s="322">
        <v>0</v>
      </c>
      <c r="E168" s="322"/>
      <c r="F168" s="322"/>
      <c r="G168" s="322"/>
      <c r="H168" s="322"/>
      <c r="I168" s="322">
        <f>SUM(E168:G168)</f>
        <v>0</v>
      </c>
      <c r="J168" s="322">
        <v>0</v>
      </c>
      <c r="K168" s="323"/>
      <c r="L168" s="324"/>
      <c r="M168" s="325"/>
      <c r="N168" s="316"/>
      <c r="O168" s="321">
        <v>2009</v>
      </c>
      <c r="P168" s="322">
        <v>0</v>
      </c>
      <c r="Q168" s="322">
        <v>0</v>
      </c>
      <c r="R168" s="322"/>
      <c r="S168" s="322"/>
      <c r="T168" s="322"/>
      <c r="U168" s="322"/>
      <c r="V168" s="322">
        <f>SUM(R168:T168)</f>
        <v>0</v>
      </c>
      <c r="W168" s="322">
        <v>0</v>
      </c>
      <c r="X168" s="322"/>
      <c r="Y168" s="323"/>
      <c r="Z168" s="324"/>
      <c r="AA168" s="325"/>
      <c r="AB168" s="316"/>
      <c r="AC168" s="321">
        <v>2009</v>
      </c>
      <c r="AD168" s="322">
        <v>0</v>
      </c>
      <c r="AE168" s="322">
        <v>0</v>
      </c>
      <c r="AF168" s="322"/>
      <c r="AG168" s="322"/>
      <c r="AH168" s="322"/>
      <c r="AI168" s="322"/>
      <c r="AJ168" s="322">
        <f>SUM(AF168:AH168)</f>
        <v>0</v>
      </c>
      <c r="AK168" s="322">
        <v>0</v>
      </c>
      <c r="AL168" s="323"/>
      <c r="AM168" s="324"/>
      <c r="AN168" s="325"/>
      <c r="AO168" s="316"/>
    </row>
    <row r="169" spans="2:41" s="314" customFormat="1" ht="15.75" hidden="1" x14ac:dyDescent="0.25">
      <c r="B169" s="321">
        <f t="shared" ref="B169:B195" si="16">+B168+1</f>
        <v>2010</v>
      </c>
      <c r="C169" s="328">
        <f>D$33*L169</f>
        <v>0</v>
      </c>
      <c r="D169" s="328">
        <f>D$34*L169</f>
        <v>0</v>
      </c>
      <c r="E169" s="322"/>
      <c r="F169" s="322"/>
      <c r="G169" s="322"/>
      <c r="H169" s="322"/>
      <c r="I169" s="322">
        <f>SUM(E169:G169)</f>
        <v>0</v>
      </c>
      <c r="J169" s="322">
        <f>J168</f>
        <v>0</v>
      </c>
      <c r="K169" s="323"/>
      <c r="L169" s="329">
        <v>0.1</v>
      </c>
      <c r="M169" s="325"/>
      <c r="N169" s="316"/>
      <c r="O169" s="321">
        <f t="shared" ref="O169:O195" si="17">+O168+1</f>
        <v>2010</v>
      </c>
      <c r="P169" s="328">
        <f>E$33*Z169</f>
        <v>0</v>
      </c>
      <c r="Q169" s="328">
        <f>E$34*Z169</f>
        <v>0</v>
      </c>
      <c r="R169" s="322"/>
      <c r="S169" s="322"/>
      <c r="T169" s="322"/>
      <c r="U169" s="322"/>
      <c r="V169" s="322">
        <f>SUM(R169:T169)</f>
        <v>0</v>
      </c>
      <c r="W169" s="322">
        <f>W168</f>
        <v>0</v>
      </c>
      <c r="X169" s="322"/>
      <c r="Y169" s="323"/>
      <c r="Z169" s="329">
        <v>0.1</v>
      </c>
      <c r="AA169" s="325"/>
      <c r="AB169" s="316"/>
      <c r="AC169" s="321">
        <f t="shared" ref="AC169:AC195" si="18">+AC168+1</f>
        <v>2010</v>
      </c>
      <c r="AD169" s="328">
        <f>F$33*AM169</f>
        <v>0</v>
      </c>
      <c r="AE169" s="328">
        <f>F$34*AM169</f>
        <v>0</v>
      </c>
      <c r="AF169" s="322"/>
      <c r="AG169" s="322"/>
      <c r="AH169" s="322"/>
      <c r="AI169" s="322"/>
      <c r="AJ169" s="322">
        <f>SUM(AF169:AH169)</f>
        <v>0</v>
      </c>
      <c r="AK169" s="322">
        <f>AK168</f>
        <v>0</v>
      </c>
      <c r="AL169" s="323"/>
      <c r="AM169" s="329">
        <v>0.1</v>
      </c>
      <c r="AN169" s="325"/>
      <c r="AO169" s="316"/>
    </row>
    <row r="170" spans="2:41" s="314" customFormat="1" ht="15.75" hidden="1" x14ac:dyDescent="0.25">
      <c r="B170" s="321">
        <f t="shared" si="16"/>
        <v>2011</v>
      </c>
      <c r="C170" s="328">
        <f>D$33*L170</f>
        <v>0</v>
      </c>
      <c r="D170" s="328">
        <f>D$34*L170</f>
        <v>0</v>
      </c>
      <c r="E170" s="331"/>
      <c r="F170" s="331"/>
      <c r="G170" s="331"/>
      <c r="H170" s="331"/>
      <c r="I170" s="331">
        <f>SUM(E170:G170)</f>
        <v>0</v>
      </c>
      <c r="J170" s="322">
        <f>J169</f>
        <v>0</v>
      </c>
      <c r="K170" s="323"/>
      <c r="L170" s="329">
        <v>0.3</v>
      </c>
      <c r="M170" s="332"/>
      <c r="N170" s="316"/>
      <c r="O170" s="321">
        <f t="shared" si="17"/>
        <v>2011</v>
      </c>
      <c r="P170" s="328">
        <f>E$33*Z170</f>
        <v>0</v>
      </c>
      <c r="Q170" s="328">
        <f>E$34*Z170</f>
        <v>0</v>
      </c>
      <c r="R170" s="331"/>
      <c r="S170" s="331"/>
      <c r="T170" s="331"/>
      <c r="U170" s="331"/>
      <c r="V170" s="331">
        <f>SUM(R170:T170)</f>
        <v>0</v>
      </c>
      <c r="W170" s="322">
        <f>W169</f>
        <v>0</v>
      </c>
      <c r="X170" s="322"/>
      <c r="Y170" s="323"/>
      <c r="Z170" s="329">
        <v>0.3</v>
      </c>
      <c r="AA170" s="332"/>
      <c r="AB170" s="316"/>
      <c r="AC170" s="321">
        <f t="shared" si="18"/>
        <v>2011</v>
      </c>
      <c r="AD170" s="328">
        <f>F$33*AM170</f>
        <v>0</v>
      </c>
      <c r="AE170" s="328">
        <f>F$34*AM170</f>
        <v>0</v>
      </c>
      <c r="AF170" s="331"/>
      <c r="AG170" s="331"/>
      <c r="AH170" s="331"/>
      <c r="AI170" s="331"/>
      <c r="AJ170" s="331">
        <f>SUM(AF170:AH170)</f>
        <v>0</v>
      </c>
      <c r="AK170" s="322">
        <f>AK169</f>
        <v>0</v>
      </c>
      <c r="AL170" s="323"/>
      <c r="AM170" s="329">
        <v>0.3</v>
      </c>
      <c r="AN170" s="332"/>
      <c r="AO170" s="316"/>
    </row>
    <row r="171" spans="2:41" s="314" customFormat="1" ht="15.75" hidden="1" x14ac:dyDescent="0.25">
      <c r="B171" s="321">
        <f t="shared" si="16"/>
        <v>2012</v>
      </c>
      <c r="C171" s="328">
        <f>D$33*L171</f>
        <v>0</v>
      </c>
      <c r="D171" s="328">
        <f>D$34*L171</f>
        <v>0</v>
      </c>
      <c r="E171" s="331"/>
      <c r="F171" s="331"/>
      <c r="G171" s="331"/>
      <c r="H171" s="331"/>
      <c r="I171" s="331">
        <f>SUM(E171:G171)</f>
        <v>0</v>
      </c>
      <c r="J171" s="322">
        <f>J170</f>
        <v>0</v>
      </c>
      <c r="K171" s="323"/>
      <c r="L171" s="329">
        <v>0.3</v>
      </c>
      <c r="N171" s="316"/>
      <c r="O171" s="321">
        <f t="shared" si="17"/>
        <v>2012</v>
      </c>
      <c r="P171" s="328">
        <f>E$33*Z171</f>
        <v>0</v>
      </c>
      <c r="Q171" s="328">
        <f>E$34*Z171</f>
        <v>0</v>
      </c>
      <c r="R171" s="331"/>
      <c r="S171" s="331"/>
      <c r="T171" s="331"/>
      <c r="U171" s="331"/>
      <c r="V171" s="331">
        <f>SUM(R171:T171)</f>
        <v>0</v>
      </c>
      <c r="W171" s="322">
        <f>W170</f>
        <v>0</v>
      </c>
      <c r="X171" s="322"/>
      <c r="Y171" s="323"/>
      <c r="Z171" s="329">
        <v>0.3</v>
      </c>
      <c r="AB171" s="316"/>
      <c r="AC171" s="321">
        <f t="shared" si="18"/>
        <v>2012</v>
      </c>
      <c r="AD171" s="328">
        <f>F$33*AM171</f>
        <v>0</v>
      </c>
      <c r="AE171" s="328">
        <f>F$34*AM171</f>
        <v>0</v>
      </c>
      <c r="AF171" s="331"/>
      <c r="AG171" s="331"/>
      <c r="AH171" s="331"/>
      <c r="AI171" s="331"/>
      <c r="AJ171" s="331">
        <f>SUM(AF171:AH171)</f>
        <v>0</v>
      </c>
      <c r="AK171" s="322">
        <f>AK170</f>
        <v>0</v>
      </c>
      <c r="AL171" s="323"/>
      <c r="AM171" s="329">
        <v>0.3</v>
      </c>
      <c r="AO171" s="316"/>
    </row>
    <row r="172" spans="2:41" s="314" customFormat="1" ht="15.75" hidden="1" x14ac:dyDescent="0.25">
      <c r="B172" s="321">
        <f t="shared" si="16"/>
        <v>2013</v>
      </c>
      <c r="C172" s="328">
        <f>D$33*L172</f>
        <v>0</v>
      </c>
      <c r="D172" s="328">
        <f>D$34*L172</f>
        <v>0</v>
      </c>
      <c r="E172" s="331"/>
      <c r="F172" s="331"/>
      <c r="G172" s="331"/>
      <c r="H172" s="331"/>
      <c r="I172" s="331">
        <f>SUM(E172:G172)</f>
        <v>0</v>
      </c>
      <c r="J172" s="322">
        <f>J171</f>
        <v>0</v>
      </c>
      <c r="K172" s="323"/>
      <c r="L172" s="329">
        <v>0.3</v>
      </c>
      <c r="N172" s="316"/>
      <c r="O172" s="321">
        <f t="shared" si="17"/>
        <v>2013</v>
      </c>
      <c r="P172" s="328">
        <f>E$33*Z172</f>
        <v>0</v>
      </c>
      <c r="Q172" s="328">
        <f>E$34*Z172</f>
        <v>0</v>
      </c>
      <c r="R172" s="331"/>
      <c r="S172" s="331"/>
      <c r="T172" s="331"/>
      <c r="U172" s="331"/>
      <c r="V172" s="331">
        <f>SUM(R172:T172)</f>
        <v>0</v>
      </c>
      <c r="W172" s="322">
        <f>W171</f>
        <v>0</v>
      </c>
      <c r="X172" s="322"/>
      <c r="Y172" s="323"/>
      <c r="Z172" s="329">
        <v>0.3</v>
      </c>
      <c r="AB172" s="316"/>
      <c r="AC172" s="321">
        <f t="shared" si="18"/>
        <v>2013</v>
      </c>
      <c r="AD172" s="328">
        <f>F$33*AM172</f>
        <v>0</v>
      </c>
      <c r="AE172" s="328">
        <f>F$34*AM172</f>
        <v>0</v>
      </c>
      <c r="AF172" s="331"/>
      <c r="AG172" s="331"/>
      <c r="AH172" s="331"/>
      <c r="AI172" s="331"/>
      <c r="AJ172" s="331">
        <f>SUM(AF172:AH172)</f>
        <v>0</v>
      </c>
      <c r="AK172" s="322">
        <f>AK171</f>
        <v>0</v>
      </c>
      <c r="AL172" s="323"/>
      <c r="AM172" s="329">
        <v>0.3</v>
      </c>
      <c r="AO172" s="316"/>
    </row>
    <row r="173" spans="2:41" s="314" customFormat="1" ht="15.75" hidden="1" x14ac:dyDescent="0.25">
      <c r="B173" s="321">
        <f t="shared" si="16"/>
        <v>2014</v>
      </c>
      <c r="C173" s="322">
        <v>0</v>
      </c>
      <c r="D173" s="322">
        <v>0</v>
      </c>
      <c r="E173" s="328">
        <f>D39</f>
        <v>0</v>
      </c>
      <c r="F173" s="328">
        <f>D44</f>
        <v>0</v>
      </c>
      <c r="G173" s="328">
        <f>D40</f>
        <v>0</v>
      </c>
      <c r="H173" s="328">
        <f>D47</f>
        <v>0</v>
      </c>
      <c r="I173" s="331">
        <f>SUM(E173:H173)</f>
        <v>0</v>
      </c>
      <c r="J173" s="328">
        <f>D36</f>
        <v>0</v>
      </c>
      <c r="K173" s="323"/>
      <c r="L173" s="333">
        <f>SUM(L169:L172)</f>
        <v>1</v>
      </c>
      <c r="M173" s="332">
        <f>I173-D50</f>
        <v>0</v>
      </c>
      <c r="N173" s="316"/>
      <c r="O173" s="321">
        <f t="shared" si="17"/>
        <v>2014</v>
      </c>
      <c r="P173" s="322">
        <v>0</v>
      </c>
      <c r="Q173" s="322">
        <v>0</v>
      </c>
      <c r="R173" s="328">
        <f>E39</f>
        <v>0</v>
      </c>
      <c r="S173" s="328">
        <f>E44</f>
        <v>0</v>
      </c>
      <c r="T173" s="328">
        <f>E40</f>
        <v>0</v>
      </c>
      <c r="U173" s="328">
        <f>E47</f>
        <v>0</v>
      </c>
      <c r="V173" s="331">
        <f>SUM(R173:U173)</f>
        <v>0</v>
      </c>
      <c r="W173" s="328">
        <f>E36</f>
        <v>0</v>
      </c>
      <c r="X173" s="328"/>
      <c r="Y173" s="323"/>
      <c r="Z173" s="333">
        <f>SUM(Z169:Z172)</f>
        <v>1</v>
      </c>
      <c r="AA173" s="332">
        <f>V173-E50</f>
        <v>0</v>
      </c>
      <c r="AB173" s="316"/>
      <c r="AC173" s="321">
        <f t="shared" si="18"/>
        <v>2014</v>
      </c>
      <c r="AD173" s="322">
        <v>0</v>
      </c>
      <c r="AE173" s="322">
        <v>0</v>
      </c>
      <c r="AF173" s="328">
        <f>F39</f>
        <v>0</v>
      </c>
      <c r="AG173" s="328">
        <f>F44</f>
        <v>0</v>
      </c>
      <c r="AH173" s="328">
        <f>F40</f>
        <v>0</v>
      </c>
      <c r="AI173" s="328">
        <f>F47</f>
        <v>0</v>
      </c>
      <c r="AJ173" s="331">
        <f>SUM(AF173:AI173)</f>
        <v>0</v>
      </c>
      <c r="AK173" s="328">
        <f>F36</f>
        <v>0</v>
      </c>
      <c r="AL173" s="323"/>
      <c r="AM173" s="333">
        <f>SUM(AM169:AM172)</f>
        <v>1</v>
      </c>
      <c r="AN173" s="332">
        <f>AJ173-F50</f>
        <v>0</v>
      </c>
      <c r="AO173" s="316"/>
    </row>
    <row r="174" spans="2:41" s="314" customFormat="1" ht="15.75" hidden="1" x14ac:dyDescent="0.25">
      <c r="B174" s="321">
        <f t="shared" si="16"/>
        <v>2015</v>
      </c>
      <c r="C174" s="322">
        <v>0</v>
      </c>
      <c r="D174" s="322">
        <v>0</v>
      </c>
      <c r="E174" s="331" t="e">
        <f t="shared" ref="E174:F189" si="19">E173*$J174/$J173</f>
        <v>#DIV/0!</v>
      </c>
      <c r="F174" s="331" t="e">
        <f t="shared" si="19"/>
        <v>#DIV/0!</v>
      </c>
      <c r="G174" s="331">
        <f t="shared" ref="G174:H189" si="20">G173</f>
        <v>0</v>
      </c>
      <c r="H174" s="331">
        <f>H173</f>
        <v>0</v>
      </c>
      <c r="I174" s="331" t="e">
        <f t="shared" ref="I174:I198" si="21">SUM(E174:G174)</f>
        <v>#DIV/0!</v>
      </c>
      <c r="J174" s="322">
        <f>J173</f>
        <v>0</v>
      </c>
      <c r="K174" s="323"/>
      <c r="M174" s="332"/>
      <c r="N174" s="316"/>
      <c r="O174" s="321">
        <f t="shared" si="17"/>
        <v>2015</v>
      </c>
      <c r="P174" s="322">
        <v>0</v>
      </c>
      <c r="Q174" s="322">
        <v>0</v>
      </c>
      <c r="R174" s="331" t="e">
        <f t="shared" ref="R174:S189" si="22">R173*$J174/$J173</f>
        <v>#DIV/0!</v>
      </c>
      <c r="S174" s="331" t="e">
        <f t="shared" si="22"/>
        <v>#DIV/0!</v>
      </c>
      <c r="T174" s="331">
        <f t="shared" ref="T174:U189" si="23">T173</f>
        <v>0</v>
      </c>
      <c r="U174" s="331">
        <f>U173</f>
        <v>0</v>
      </c>
      <c r="V174" s="331" t="e">
        <f t="shared" ref="V174:V198" si="24">SUM(R174:T174)</f>
        <v>#DIV/0!</v>
      </c>
      <c r="W174" s="322">
        <f>W173</f>
        <v>0</v>
      </c>
      <c r="X174" s="322"/>
      <c r="Y174" s="323"/>
      <c r="AA174" s="332"/>
      <c r="AB174" s="316"/>
      <c r="AC174" s="321">
        <f t="shared" si="18"/>
        <v>2015</v>
      </c>
      <c r="AD174" s="322">
        <v>0</v>
      </c>
      <c r="AE174" s="322">
        <v>0</v>
      </c>
      <c r="AF174" s="331" t="e">
        <f t="shared" ref="AF174:AG189" si="25">AF173*$J174/$J173</f>
        <v>#DIV/0!</v>
      </c>
      <c r="AG174" s="331" t="e">
        <f t="shared" si="25"/>
        <v>#DIV/0!</v>
      </c>
      <c r="AH174" s="331">
        <f t="shared" ref="AH174:AI189" si="26">AH173</f>
        <v>0</v>
      </c>
      <c r="AI174" s="331">
        <f>AI173</f>
        <v>0</v>
      </c>
      <c r="AJ174" s="331" t="e">
        <f t="shared" ref="AJ174:AJ198" si="27">SUM(AF174:AH174)</f>
        <v>#DIV/0!</v>
      </c>
      <c r="AK174" s="322">
        <f>AK173</f>
        <v>0</v>
      </c>
      <c r="AL174" s="323"/>
      <c r="AN174" s="332"/>
      <c r="AO174" s="316"/>
    </row>
    <row r="175" spans="2:41" s="314" customFormat="1" ht="15.75" hidden="1" x14ac:dyDescent="0.25">
      <c r="B175" s="321">
        <f t="shared" si="16"/>
        <v>2016</v>
      </c>
      <c r="C175" s="322">
        <v>0</v>
      </c>
      <c r="D175" s="322">
        <v>0</v>
      </c>
      <c r="E175" s="331" t="e">
        <f t="shared" si="19"/>
        <v>#DIV/0!</v>
      </c>
      <c r="F175" s="335" t="e">
        <f t="shared" si="19"/>
        <v>#DIV/0!</v>
      </c>
      <c r="G175" s="331">
        <f t="shared" si="20"/>
        <v>0</v>
      </c>
      <c r="H175" s="331">
        <f t="shared" si="20"/>
        <v>0</v>
      </c>
      <c r="I175" s="331" t="e">
        <f t="shared" si="21"/>
        <v>#DIV/0!</v>
      </c>
      <c r="J175" s="322">
        <f t="shared" ref="J175:J197" si="28">J174</f>
        <v>0</v>
      </c>
      <c r="K175" s="323"/>
      <c r="M175" s="332"/>
      <c r="N175" s="316"/>
      <c r="O175" s="321">
        <f t="shared" si="17"/>
        <v>2016</v>
      </c>
      <c r="P175" s="322">
        <v>0</v>
      </c>
      <c r="Q175" s="322">
        <v>0</v>
      </c>
      <c r="R175" s="331" t="e">
        <f t="shared" si="22"/>
        <v>#DIV/0!</v>
      </c>
      <c r="S175" s="335" t="e">
        <f t="shared" si="22"/>
        <v>#DIV/0!</v>
      </c>
      <c r="T175" s="331">
        <f t="shared" si="23"/>
        <v>0</v>
      </c>
      <c r="U175" s="331">
        <f t="shared" si="23"/>
        <v>0</v>
      </c>
      <c r="V175" s="331" t="e">
        <f t="shared" si="24"/>
        <v>#DIV/0!</v>
      </c>
      <c r="W175" s="322">
        <f t="shared" ref="W175:W197" si="29">W174</f>
        <v>0</v>
      </c>
      <c r="X175" s="322"/>
      <c r="Y175" s="323"/>
      <c r="AA175" s="332"/>
      <c r="AB175" s="316"/>
      <c r="AC175" s="321">
        <f t="shared" si="18"/>
        <v>2016</v>
      </c>
      <c r="AD175" s="322">
        <v>0</v>
      </c>
      <c r="AE175" s="322">
        <v>0</v>
      </c>
      <c r="AF175" s="331" t="e">
        <f t="shared" si="25"/>
        <v>#DIV/0!</v>
      </c>
      <c r="AG175" s="331" t="e">
        <f t="shared" si="25"/>
        <v>#DIV/0!</v>
      </c>
      <c r="AH175" s="331">
        <f t="shared" si="26"/>
        <v>0</v>
      </c>
      <c r="AI175" s="331">
        <f t="shared" si="26"/>
        <v>0</v>
      </c>
      <c r="AJ175" s="331" t="e">
        <f t="shared" si="27"/>
        <v>#DIV/0!</v>
      </c>
      <c r="AK175" s="322">
        <f t="shared" ref="AK175:AK197" si="30">AK174</f>
        <v>0</v>
      </c>
      <c r="AL175" s="323"/>
      <c r="AN175" s="332"/>
      <c r="AO175" s="316"/>
    </row>
    <row r="176" spans="2:41" s="314" customFormat="1" ht="15.75" hidden="1" x14ac:dyDescent="0.25">
      <c r="B176" s="321">
        <f t="shared" si="16"/>
        <v>2017</v>
      </c>
      <c r="C176" s="322">
        <v>0</v>
      </c>
      <c r="D176" s="322">
        <v>0</v>
      </c>
      <c r="E176" s="331" t="e">
        <f t="shared" si="19"/>
        <v>#DIV/0!</v>
      </c>
      <c r="F176" s="331" t="e">
        <f t="shared" si="19"/>
        <v>#DIV/0!</v>
      </c>
      <c r="G176" s="331">
        <f t="shared" si="20"/>
        <v>0</v>
      </c>
      <c r="H176" s="331">
        <f t="shared" si="20"/>
        <v>0</v>
      </c>
      <c r="I176" s="331" t="e">
        <f t="shared" si="21"/>
        <v>#DIV/0!</v>
      </c>
      <c r="J176" s="322">
        <f t="shared" si="28"/>
        <v>0</v>
      </c>
      <c r="K176" s="323"/>
      <c r="M176" s="336"/>
      <c r="N176" s="316"/>
      <c r="O176" s="321">
        <f t="shared" si="17"/>
        <v>2017</v>
      </c>
      <c r="P176" s="322">
        <v>0</v>
      </c>
      <c r="Q176" s="322">
        <v>0</v>
      </c>
      <c r="R176" s="331" t="e">
        <f t="shared" si="22"/>
        <v>#DIV/0!</v>
      </c>
      <c r="S176" s="331" t="e">
        <f t="shared" si="22"/>
        <v>#DIV/0!</v>
      </c>
      <c r="T176" s="331">
        <f t="shared" si="23"/>
        <v>0</v>
      </c>
      <c r="U176" s="331">
        <f t="shared" si="23"/>
        <v>0</v>
      </c>
      <c r="V176" s="331" t="e">
        <f t="shared" si="24"/>
        <v>#DIV/0!</v>
      </c>
      <c r="W176" s="322">
        <f t="shared" si="29"/>
        <v>0</v>
      </c>
      <c r="X176" s="322"/>
      <c r="Y176" s="323"/>
      <c r="AA176" s="336"/>
      <c r="AB176" s="316"/>
      <c r="AC176" s="321">
        <f t="shared" si="18"/>
        <v>2017</v>
      </c>
      <c r="AD176" s="322">
        <v>0</v>
      </c>
      <c r="AE176" s="322">
        <v>0</v>
      </c>
      <c r="AF176" s="331" t="e">
        <f t="shared" si="25"/>
        <v>#DIV/0!</v>
      </c>
      <c r="AG176" s="331" t="e">
        <f t="shared" si="25"/>
        <v>#DIV/0!</v>
      </c>
      <c r="AH176" s="331">
        <f t="shared" si="26"/>
        <v>0</v>
      </c>
      <c r="AI176" s="331">
        <f t="shared" si="26"/>
        <v>0</v>
      </c>
      <c r="AJ176" s="331" t="e">
        <f t="shared" si="27"/>
        <v>#DIV/0!</v>
      </c>
      <c r="AK176" s="322">
        <f t="shared" si="30"/>
        <v>0</v>
      </c>
      <c r="AL176" s="323"/>
      <c r="AN176" s="336"/>
      <c r="AO176" s="316"/>
    </row>
    <row r="177" spans="2:41" s="314" customFormat="1" ht="15.75" hidden="1" x14ac:dyDescent="0.25">
      <c r="B177" s="321">
        <f t="shared" si="16"/>
        <v>2018</v>
      </c>
      <c r="C177" s="322">
        <v>0</v>
      </c>
      <c r="D177" s="322">
        <v>0</v>
      </c>
      <c r="E177" s="331" t="e">
        <f t="shared" si="19"/>
        <v>#DIV/0!</v>
      </c>
      <c r="F177" s="331" t="e">
        <f t="shared" si="19"/>
        <v>#DIV/0!</v>
      </c>
      <c r="G177" s="331">
        <f t="shared" si="20"/>
        <v>0</v>
      </c>
      <c r="H177" s="331">
        <f t="shared" si="20"/>
        <v>0</v>
      </c>
      <c r="I177" s="331" t="e">
        <f t="shared" si="21"/>
        <v>#DIV/0!</v>
      </c>
      <c r="J177" s="322">
        <f t="shared" si="28"/>
        <v>0</v>
      </c>
      <c r="K177" s="323"/>
      <c r="N177" s="316"/>
      <c r="O177" s="321">
        <f t="shared" si="17"/>
        <v>2018</v>
      </c>
      <c r="P177" s="322">
        <v>0</v>
      </c>
      <c r="Q177" s="322">
        <v>0</v>
      </c>
      <c r="R177" s="331" t="e">
        <f t="shared" si="22"/>
        <v>#DIV/0!</v>
      </c>
      <c r="S177" s="331" t="e">
        <f t="shared" si="22"/>
        <v>#DIV/0!</v>
      </c>
      <c r="T177" s="331">
        <f t="shared" si="23"/>
        <v>0</v>
      </c>
      <c r="U177" s="331">
        <f t="shared" si="23"/>
        <v>0</v>
      </c>
      <c r="V177" s="331" t="e">
        <f t="shared" si="24"/>
        <v>#DIV/0!</v>
      </c>
      <c r="W177" s="322">
        <f t="shared" si="29"/>
        <v>0</v>
      </c>
      <c r="X177" s="322"/>
      <c r="Y177" s="323"/>
      <c r="AB177" s="316"/>
      <c r="AC177" s="321">
        <f t="shared" si="18"/>
        <v>2018</v>
      </c>
      <c r="AD177" s="322">
        <v>0</v>
      </c>
      <c r="AE177" s="322">
        <v>0</v>
      </c>
      <c r="AF177" s="331" t="e">
        <f t="shared" si="25"/>
        <v>#DIV/0!</v>
      </c>
      <c r="AG177" s="331" t="e">
        <f t="shared" si="25"/>
        <v>#DIV/0!</v>
      </c>
      <c r="AH177" s="331">
        <f t="shared" si="26"/>
        <v>0</v>
      </c>
      <c r="AI177" s="331">
        <f t="shared" si="26"/>
        <v>0</v>
      </c>
      <c r="AJ177" s="331" t="e">
        <f t="shared" si="27"/>
        <v>#DIV/0!</v>
      </c>
      <c r="AK177" s="322">
        <f t="shared" si="30"/>
        <v>0</v>
      </c>
      <c r="AL177" s="323"/>
      <c r="AO177" s="316"/>
    </row>
    <row r="178" spans="2:41" s="314" customFormat="1" ht="15.75" hidden="1" x14ac:dyDescent="0.25">
      <c r="B178" s="321">
        <f t="shared" si="16"/>
        <v>2019</v>
      </c>
      <c r="C178" s="322">
        <v>0</v>
      </c>
      <c r="D178" s="322">
        <v>0</v>
      </c>
      <c r="E178" s="331" t="e">
        <f t="shared" si="19"/>
        <v>#DIV/0!</v>
      </c>
      <c r="F178" s="331" t="e">
        <f t="shared" si="19"/>
        <v>#DIV/0!</v>
      </c>
      <c r="G178" s="331">
        <f t="shared" si="20"/>
        <v>0</v>
      </c>
      <c r="H178" s="331">
        <f t="shared" si="20"/>
        <v>0</v>
      </c>
      <c r="I178" s="331" t="e">
        <f t="shared" si="21"/>
        <v>#DIV/0!</v>
      </c>
      <c r="J178" s="322">
        <f t="shared" si="28"/>
        <v>0</v>
      </c>
      <c r="K178" s="323"/>
      <c r="N178" s="316"/>
      <c r="O178" s="321">
        <f t="shared" si="17"/>
        <v>2019</v>
      </c>
      <c r="P178" s="322">
        <v>0</v>
      </c>
      <c r="Q178" s="322">
        <v>0</v>
      </c>
      <c r="R178" s="331" t="e">
        <f t="shared" si="22"/>
        <v>#DIV/0!</v>
      </c>
      <c r="S178" s="331" t="e">
        <f t="shared" si="22"/>
        <v>#DIV/0!</v>
      </c>
      <c r="T178" s="331">
        <f t="shared" si="23"/>
        <v>0</v>
      </c>
      <c r="U178" s="331">
        <f t="shared" si="23"/>
        <v>0</v>
      </c>
      <c r="V178" s="331" t="e">
        <f t="shared" si="24"/>
        <v>#DIV/0!</v>
      </c>
      <c r="W178" s="322">
        <f t="shared" si="29"/>
        <v>0</v>
      </c>
      <c r="X178" s="322"/>
      <c r="Y178" s="323"/>
      <c r="AB178" s="316"/>
      <c r="AC178" s="321">
        <f t="shared" si="18"/>
        <v>2019</v>
      </c>
      <c r="AD178" s="322">
        <v>0</v>
      </c>
      <c r="AE178" s="322">
        <v>0</v>
      </c>
      <c r="AF178" s="331" t="e">
        <f t="shared" si="25"/>
        <v>#DIV/0!</v>
      </c>
      <c r="AG178" s="331" t="e">
        <f t="shared" si="25"/>
        <v>#DIV/0!</v>
      </c>
      <c r="AH178" s="331">
        <f t="shared" si="26"/>
        <v>0</v>
      </c>
      <c r="AI178" s="331">
        <f t="shared" si="26"/>
        <v>0</v>
      </c>
      <c r="AJ178" s="331" t="e">
        <f t="shared" si="27"/>
        <v>#DIV/0!</v>
      </c>
      <c r="AK178" s="322">
        <f t="shared" si="30"/>
        <v>0</v>
      </c>
      <c r="AL178" s="323"/>
      <c r="AO178" s="316"/>
    </row>
    <row r="179" spans="2:41" s="314" customFormat="1" ht="15.75" hidden="1" x14ac:dyDescent="0.25">
      <c r="B179" s="321">
        <f t="shared" si="16"/>
        <v>2020</v>
      </c>
      <c r="C179" s="322">
        <v>0</v>
      </c>
      <c r="D179" s="322">
        <v>0</v>
      </c>
      <c r="E179" s="331" t="e">
        <f t="shared" si="19"/>
        <v>#DIV/0!</v>
      </c>
      <c r="F179" s="331" t="e">
        <f t="shared" si="19"/>
        <v>#DIV/0!</v>
      </c>
      <c r="G179" s="331">
        <f t="shared" si="20"/>
        <v>0</v>
      </c>
      <c r="H179" s="331">
        <f t="shared" si="20"/>
        <v>0</v>
      </c>
      <c r="I179" s="331" t="e">
        <f t="shared" si="21"/>
        <v>#DIV/0!</v>
      </c>
      <c r="J179" s="322">
        <f t="shared" si="28"/>
        <v>0</v>
      </c>
      <c r="K179" s="323"/>
      <c r="N179" s="316"/>
      <c r="O179" s="321">
        <f t="shared" si="17"/>
        <v>2020</v>
      </c>
      <c r="P179" s="322">
        <v>0</v>
      </c>
      <c r="Q179" s="322">
        <v>0</v>
      </c>
      <c r="R179" s="331" t="e">
        <f t="shared" si="22"/>
        <v>#DIV/0!</v>
      </c>
      <c r="S179" s="331" t="e">
        <f t="shared" si="22"/>
        <v>#DIV/0!</v>
      </c>
      <c r="T179" s="331">
        <f t="shared" si="23"/>
        <v>0</v>
      </c>
      <c r="U179" s="331">
        <f t="shared" si="23"/>
        <v>0</v>
      </c>
      <c r="V179" s="331" t="e">
        <f t="shared" si="24"/>
        <v>#DIV/0!</v>
      </c>
      <c r="W179" s="322">
        <f t="shared" si="29"/>
        <v>0</v>
      </c>
      <c r="X179" s="322"/>
      <c r="Y179" s="323"/>
      <c r="AB179" s="316"/>
      <c r="AC179" s="321">
        <f t="shared" si="18"/>
        <v>2020</v>
      </c>
      <c r="AD179" s="322">
        <v>0</v>
      </c>
      <c r="AE179" s="322">
        <v>0</v>
      </c>
      <c r="AF179" s="331" t="e">
        <f t="shared" si="25"/>
        <v>#DIV/0!</v>
      </c>
      <c r="AG179" s="331" t="e">
        <f t="shared" si="25"/>
        <v>#DIV/0!</v>
      </c>
      <c r="AH179" s="331">
        <f t="shared" si="26"/>
        <v>0</v>
      </c>
      <c r="AI179" s="331">
        <f t="shared" si="26"/>
        <v>0</v>
      </c>
      <c r="AJ179" s="331" t="e">
        <f t="shared" si="27"/>
        <v>#DIV/0!</v>
      </c>
      <c r="AK179" s="322">
        <f t="shared" si="30"/>
        <v>0</v>
      </c>
      <c r="AL179" s="323"/>
      <c r="AO179" s="316"/>
    </row>
    <row r="180" spans="2:41" s="314" customFormat="1" ht="15.75" hidden="1" x14ac:dyDescent="0.25">
      <c r="B180" s="321">
        <f t="shared" si="16"/>
        <v>2021</v>
      </c>
      <c r="C180" s="322">
        <v>0</v>
      </c>
      <c r="D180" s="322">
        <v>0</v>
      </c>
      <c r="E180" s="331" t="e">
        <f t="shared" si="19"/>
        <v>#DIV/0!</v>
      </c>
      <c r="F180" s="331" t="e">
        <f t="shared" si="19"/>
        <v>#DIV/0!</v>
      </c>
      <c r="G180" s="331">
        <f t="shared" si="20"/>
        <v>0</v>
      </c>
      <c r="H180" s="331">
        <f t="shared" si="20"/>
        <v>0</v>
      </c>
      <c r="I180" s="331" t="e">
        <f t="shared" si="21"/>
        <v>#DIV/0!</v>
      </c>
      <c r="J180" s="322">
        <f t="shared" si="28"/>
        <v>0</v>
      </c>
      <c r="K180" s="323"/>
      <c r="N180" s="316"/>
      <c r="O180" s="321">
        <f t="shared" si="17"/>
        <v>2021</v>
      </c>
      <c r="P180" s="322">
        <v>0</v>
      </c>
      <c r="Q180" s="322">
        <v>0</v>
      </c>
      <c r="R180" s="331" t="e">
        <f t="shared" si="22"/>
        <v>#DIV/0!</v>
      </c>
      <c r="S180" s="331" t="e">
        <f t="shared" si="22"/>
        <v>#DIV/0!</v>
      </c>
      <c r="T180" s="331">
        <f t="shared" si="23"/>
        <v>0</v>
      </c>
      <c r="U180" s="331">
        <f t="shared" si="23"/>
        <v>0</v>
      </c>
      <c r="V180" s="331" t="e">
        <f t="shared" si="24"/>
        <v>#DIV/0!</v>
      </c>
      <c r="W180" s="322">
        <f t="shared" si="29"/>
        <v>0</v>
      </c>
      <c r="X180" s="322"/>
      <c r="Y180" s="323"/>
      <c r="AB180" s="316"/>
      <c r="AC180" s="321">
        <f t="shared" si="18"/>
        <v>2021</v>
      </c>
      <c r="AD180" s="322">
        <v>0</v>
      </c>
      <c r="AE180" s="322">
        <v>0</v>
      </c>
      <c r="AF180" s="331" t="e">
        <f t="shared" si="25"/>
        <v>#DIV/0!</v>
      </c>
      <c r="AG180" s="331" t="e">
        <f t="shared" si="25"/>
        <v>#DIV/0!</v>
      </c>
      <c r="AH180" s="331">
        <f t="shared" si="26"/>
        <v>0</v>
      </c>
      <c r="AI180" s="331">
        <f t="shared" si="26"/>
        <v>0</v>
      </c>
      <c r="AJ180" s="331" t="e">
        <f t="shared" si="27"/>
        <v>#DIV/0!</v>
      </c>
      <c r="AK180" s="322">
        <f t="shared" si="30"/>
        <v>0</v>
      </c>
      <c r="AL180" s="323"/>
      <c r="AO180" s="316"/>
    </row>
    <row r="181" spans="2:41" s="314" customFormat="1" ht="15.75" hidden="1" x14ac:dyDescent="0.25">
      <c r="B181" s="321">
        <f t="shared" si="16"/>
        <v>2022</v>
      </c>
      <c r="C181" s="322">
        <v>0</v>
      </c>
      <c r="D181" s="322">
        <v>0</v>
      </c>
      <c r="E181" s="331" t="e">
        <f t="shared" si="19"/>
        <v>#DIV/0!</v>
      </c>
      <c r="F181" s="331" t="e">
        <f t="shared" si="19"/>
        <v>#DIV/0!</v>
      </c>
      <c r="G181" s="331">
        <f t="shared" si="20"/>
        <v>0</v>
      </c>
      <c r="H181" s="331">
        <f t="shared" si="20"/>
        <v>0</v>
      </c>
      <c r="I181" s="331" t="e">
        <f t="shared" si="21"/>
        <v>#DIV/0!</v>
      </c>
      <c r="J181" s="322">
        <f t="shared" si="28"/>
        <v>0</v>
      </c>
      <c r="K181" s="323"/>
      <c r="N181" s="316"/>
      <c r="O181" s="321">
        <f t="shared" si="17"/>
        <v>2022</v>
      </c>
      <c r="P181" s="322">
        <v>0</v>
      </c>
      <c r="Q181" s="322">
        <v>0</v>
      </c>
      <c r="R181" s="331" t="e">
        <f t="shared" si="22"/>
        <v>#DIV/0!</v>
      </c>
      <c r="S181" s="331" t="e">
        <f t="shared" si="22"/>
        <v>#DIV/0!</v>
      </c>
      <c r="T181" s="331">
        <f t="shared" si="23"/>
        <v>0</v>
      </c>
      <c r="U181" s="331">
        <f t="shared" si="23"/>
        <v>0</v>
      </c>
      <c r="V181" s="331" t="e">
        <f t="shared" si="24"/>
        <v>#DIV/0!</v>
      </c>
      <c r="W181" s="322">
        <f t="shared" si="29"/>
        <v>0</v>
      </c>
      <c r="X181" s="322"/>
      <c r="Y181" s="323"/>
      <c r="AB181" s="316"/>
      <c r="AC181" s="321">
        <f t="shared" si="18"/>
        <v>2022</v>
      </c>
      <c r="AD181" s="322">
        <v>0</v>
      </c>
      <c r="AE181" s="322">
        <v>0</v>
      </c>
      <c r="AF181" s="331" t="e">
        <f t="shared" si="25"/>
        <v>#DIV/0!</v>
      </c>
      <c r="AG181" s="331" t="e">
        <f t="shared" si="25"/>
        <v>#DIV/0!</v>
      </c>
      <c r="AH181" s="331">
        <f t="shared" si="26"/>
        <v>0</v>
      </c>
      <c r="AI181" s="331">
        <f t="shared" si="26"/>
        <v>0</v>
      </c>
      <c r="AJ181" s="331" t="e">
        <f t="shared" si="27"/>
        <v>#DIV/0!</v>
      </c>
      <c r="AK181" s="322">
        <f t="shared" si="30"/>
        <v>0</v>
      </c>
      <c r="AL181" s="323"/>
      <c r="AO181" s="316"/>
    </row>
    <row r="182" spans="2:41" s="314" customFormat="1" ht="15.75" hidden="1" x14ac:dyDescent="0.25">
      <c r="B182" s="321">
        <f t="shared" si="16"/>
        <v>2023</v>
      </c>
      <c r="C182" s="322">
        <v>0</v>
      </c>
      <c r="D182" s="322">
        <v>0</v>
      </c>
      <c r="E182" s="331" t="e">
        <f t="shared" si="19"/>
        <v>#DIV/0!</v>
      </c>
      <c r="F182" s="331" t="e">
        <f t="shared" si="19"/>
        <v>#DIV/0!</v>
      </c>
      <c r="G182" s="331">
        <f t="shared" si="20"/>
        <v>0</v>
      </c>
      <c r="H182" s="331">
        <f t="shared" si="20"/>
        <v>0</v>
      </c>
      <c r="I182" s="331" t="e">
        <f t="shared" si="21"/>
        <v>#DIV/0!</v>
      </c>
      <c r="J182" s="322">
        <f t="shared" si="28"/>
        <v>0</v>
      </c>
      <c r="K182" s="323"/>
      <c r="N182" s="316"/>
      <c r="O182" s="321">
        <f t="shared" si="17"/>
        <v>2023</v>
      </c>
      <c r="P182" s="322">
        <v>0</v>
      </c>
      <c r="Q182" s="322">
        <v>0</v>
      </c>
      <c r="R182" s="331" t="e">
        <f t="shared" si="22"/>
        <v>#DIV/0!</v>
      </c>
      <c r="S182" s="331" t="e">
        <f t="shared" si="22"/>
        <v>#DIV/0!</v>
      </c>
      <c r="T182" s="331">
        <f t="shared" si="23"/>
        <v>0</v>
      </c>
      <c r="U182" s="331">
        <f t="shared" si="23"/>
        <v>0</v>
      </c>
      <c r="V182" s="331" t="e">
        <f t="shared" si="24"/>
        <v>#DIV/0!</v>
      </c>
      <c r="W182" s="322">
        <f t="shared" si="29"/>
        <v>0</v>
      </c>
      <c r="X182" s="322"/>
      <c r="Y182" s="323"/>
      <c r="AB182" s="316"/>
      <c r="AC182" s="321">
        <f t="shared" si="18"/>
        <v>2023</v>
      </c>
      <c r="AD182" s="322">
        <v>0</v>
      </c>
      <c r="AE182" s="322">
        <v>0</v>
      </c>
      <c r="AF182" s="331" t="e">
        <f t="shared" si="25"/>
        <v>#DIV/0!</v>
      </c>
      <c r="AG182" s="331" t="e">
        <f t="shared" si="25"/>
        <v>#DIV/0!</v>
      </c>
      <c r="AH182" s="331">
        <f t="shared" si="26"/>
        <v>0</v>
      </c>
      <c r="AI182" s="331">
        <f t="shared" si="26"/>
        <v>0</v>
      </c>
      <c r="AJ182" s="331" t="e">
        <f t="shared" si="27"/>
        <v>#DIV/0!</v>
      </c>
      <c r="AK182" s="322">
        <f t="shared" si="30"/>
        <v>0</v>
      </c>
      <c r="AL182" s="323"/>
      <c r="AO182" s="316"/>
    </row>
    <row r="183" spans="2:41" s="314" customFormat="1" ht="15.75" hidden="1" x14ac:dyDescent="0.25">
      <c r="B183" s="321">
        <f t="shared" si="16"/>
        <v>2024</v>
      </c>
      <c r="C183" s="322">
        <v>0</v>
      </c>
      <c r="D183" s="322">
        <v>0</v>
      </c>
      <c r="E183" s="331" t="e">
        <f t="shared" si="19"/>
        <v>#DIV/0!</v>
      </c>
      <c r="F183" s="331" t="e">
        <f t="shared" si="19"/>
        <v>#DIV/0!</v>
      </c>
      <c r="G183" s="331">
        <f t="shared" si="20"/>
        <v>0</v>
      </c>
      <c r="H183" s="331">
        <f t="shared" si="20"/>
        <v>0</v>
      </c>
      <c r="I183" s="331" t="e">
        <f t="shared" si="21"/>
        <v>#DIV/0!</v>
      </c>
      <c r="J183" s="322">
        <f t="shared" si="28"/>
        <v>0</v>
      </c>
      <c r="K183" s="323"/>
      <c r="N183" s="316"/>
      <c r="O183" s="321">
        <f t="shared" si="17"/>
        <v>2024</v>
      </c>
      <c r="P183" s="322">
        <v>0</v>
      </c>
      <c r="Q183" s="322">
        <v>0</v>
      </c>
      <c r="R183" s="331" t="e">
        <f t="shared" si="22"/>
        <v>#DIV/0!</v>
      </c>
      <c r="S183" s="331" t="e">
        <f t="shared" si="22"/>
        <v>#DIV/0!</v>
      </c>
      <c r="T183" s="331">
        <f t="shared" si="23"/>
        <v>0</v>
      </c>
      <c r="U183" s="331">
        <f t="shared" si="23"/>
        <v>0</v>
      </c>
      <c r="V183" s="331" t="e">
        <f t="shared" si="24"/>
        <v>#DIV/0!</v>
      </c>
      <c r="W183" s="322">
        <f t="shared" si="29"/>
        <v>0</v>
      </c>
      <c r="X183" s="322"/>
      <c r="Y183" s="323"/>
      <c r="AB183" s="316"/>
      <c r="AC183" s="321">
        <f t="shared" si="18"/>
        <v>2024</v>
      </c>
      <c r="AD183" s="322">
        <v>0</v>
      </c>
      <c r="AE183" s="322">
        <v>0</v>
      </c>
      <c r="AF183" s="331" t="e">
        <f t="shared" si="25"/>
        <v>#DIV/0!</v>
      </c>
      <c r="AG183" s="331" t="e">
        <f t="shared" si="25"/>
        <v>#DIV/0!</v>
      </c>
      <c r="AH183" s="331">
        <f t="shared" si="26"/>
        <v>0</v>
      </c>
      <c r="AI183" s="331">
        <f t="shared" si="26"/>
        <v>0</v>
      </c>
      <c r="AJ183" s="331" t="e">
        <f t="shared" si="27"/>
        <v>#DIV/0!</v>
      </c>
      <c r="AK183" s="322">
        <f t="shared" si="30"/>
        <v>0</v>
      </c>
      <c r="AL183" s="323"/>
      <c r="AO183" s="316"/>
    </row>
    <row r="184" spans="2:41" s="314" customFormat="1" ht="15.75" hidden="1" x14ac:dyDescent="0.25">
      <c r="B184" s="321">
        <f t="shared" si="16"/>
        <v>2025</v>
      </c>
      <c r="C184" s="322">
        <v>0</v>
      </c>
      <c r="D184" s="322">
        <v>0</v>
      </c>
      <c r="E184" s="331" t="e">
        <f t="shared" si="19"/>
        <v>#DIV/0!</v>
      </c>
      <c r="F184" s="331" t="e">
        <f t="shared" si="19"/>
        <v>#DIV/0!</v>
      </c>
      <c r="G184" s="331">
        <f t="shared" si="20"/>
        <v>0</v>
      </c>
      <c r="H184" s="331">
        <f t="shared" si="20"/>
        <v>0</v>
      </c>
      <c r="I184" s="331" t="e">
        <f t="shared" si="21"/>
        <v>#DIV/0!</v>
      </c>
      <c r="J184" s="322">
        <f t="shared" si="28"/>
        <v>0</v>
      </c>
      <c r="K184" s="323"/>
      <c r="N184" s="316"/>
      <c r="O184" s="321">
        <f t="shared" si="17"/>
        <v>2025</v>
      </c>
      <c r="P184" s="322">
        <v>0</v>
      </c>
      <c r="Q184" s="322">
        <v>0</v>
      </c>
      <c r="R184" s="331" t="e">
        <f t="shared" si="22"/>
        <v>#DIV/0!</v>
      </c>
      <c r="S184" s="331" t="e">
        <f t="shared" si="22"/>
        <v>#DIV/0!</v>
      </c>
      <c r="T184" s="331">
        <f t="shared" si="23"/>
        <v>0</v>
      </c>
      <c r="U184" s="331">
        <f t="shared" si="23"/>
        <v>0</v>
      </c>
      <c r="V184" s="331" t="e">
        <f t="shared" si="24"/>
        <v>#DIV/0!</v>
      </c>
      <c r="W184" s="322">
        <f t="shared" si="29"/>
        <v>0</v>
      </c>
      <c r="X184" s="322"/>
      <c r="Y184" s="323"/>
      <c r="AB184" s="316"/>
      <c r="AC184" s="321">
        <f t="shared" si="18"/>
        <v>2025</v>
      </c>
      <c r="AD184" s="322">
        <v>0</v>
      </c>
      <c r="AE184" s="322">
        <v>0</v>
      </c>
      <c r="AF184" s="331" t="e">
        <f t="shared" si="25"/>
        <v>#DIV/0!</v>
      </c>
      <c r="AG184" s="331" t="e">
        <f t="shared" si="25"/>
        <v>#DIV/0!</v>
      </c>
      <c r="AH184" s="331">
        <f t="shared" si="26"/>
        <v>0</v>
      </c>
      <c r="AI184" s="331">
        <f t="shared" si="26"/>
        <v>0</v>
      </c>
      <c r="AJ184" s="331" t="e">
        <f t="shared" si="27"/>
        <v>#DIV/0!</v>
      </c>
      <c r="AK184" s="322">
        <f t="shared" si="30"/>
        <v>0</v>
      </c>
      <c r="AL184" s="323"/>
      <c r="AO184" s="316"/>
    </row>
    <row r="185" spans="2:41" s="314" customFormat="1" ht="15.75" hidden="1" x14ac:dyDescent="0.25">
      <c r="B185" s="321">
        <f t="shared" si="16"/>
        <v>2026</v>
      </c>
      <c r="C185" s="322">
        <v>0</v>
      </c>
      <c r="D185" s="322">
        <v>0</v>
      </c>
      <c r="E185" s="331" t="e">
        <f t="shared" si="19"/>
        <v>#DIV/0!</v>
      </c>
      <c r="F185" s="331" t="e">
        <f t="shared" si="19"/>
        <v>#DIV/0!</v>
      </c>
      <c r="G185" s="331">
        <f t="shared" si="20"/>
        <v>0</v>
      </c>
      <c r="H185" s="331">
        <f t="shared" si="20"/>
        <v>0</v>
      </c>
      <c r="I185" s="331" t="e">
        <f t="shared" si="21"/>
        <v>#DIV/0!</v>
      </c>
      <c r="J185" s="322">
        <f t="shared" si="28"/>
        <v>0</v>
      </c>
      <c r="K185" s="323"/>
      <c r="N185" s="316"/>
      <c r="O185" s="321">
        <f t="shared" si="17"/>
        <v>2026</v>
      </c>
      <c r="P185" s="322">
        <v>0</v>
      </c>
      <c r="Q185" s="322">
        <v>0</v>
      </c>
      <c r="R185" s="331" t="e">
        <f t="shared" si="22"/>
        <v>#DIV/0!</v>
      </c>
      <c r="S185" s="331" t="e">
        <f t="shared" si="22"/>
        <v>#DIV/0!</v>
      </c>
      <c r="T185" s="331">
        <f t="shared" si="23"/>
        <v>0</v>
      </c>
      <c r="U185" s="331">
        <f t="shared" si="23"/>
        <v>0</v>
      </c>
      <c r="V185" s="331" t="e">
        <f t="shared" si="24"/>
        <v>#DIV/0!</v>
      </c>
      <c r="W185" s="322">
        <f t="shared" si="29"/>
        <v>0</v>
      </c>
      <c r="X185" s="322"/>
      <c r="Y185" s="323"/>
      <c r="AB185" s="316"/>
      <c r="AC185" s="321">
        <f t="shared" si="18"/>
        <v>2026</v>
      </c>
      <c r="AD185" s="322">
        <v>0</v>
      </c>
      <c r="AE185" s="322">
        <v>0</v>
      </c>
      <c r="AF185" s="331" t="e">
        <f t="shared" si="25"/>
        <v>#DIV/0!</v>
      </c>
      <c r="AG185" s="331" t="e">
        <f t="shared" si="25"/>
        <v>#DIV/0!</v>
      </c>
      <c r="AH185" s="331">
        <f t="shared" si="26"/>
        <v>0</v>
      </c>
      <c r="AI185" s="331">
        <f t="shared" si="26"/>
        <v>0</v>
      </c>
      <c r="AJ185" s="331" t="e">
        <f t="shared" si="27"/>
        <v>#DIV/0!</v>
      </c>
      <c r="AK185" s="322">
        <f t="shared" si="30"/>
        <v>0</v>
      </c>
      <c r="AL185" s="323"/>
      <c r="AO185" s="316"/>
    </row>
    <row r="186" spans="2:41" s="314" customFormat="1" ht="15.75" hidden="1" x14ac:dyDescent="0.25">
      <c r="B186" s="321">
        <f t="shared" si="16"/>
        <v>2027</v>
      </c>
      <c r="C186" s="322">
        <v>0</v>
      </c>
      <c r="D186" s="322">
        <v>0</v>
      </c>
      <c r="E186" s="331" t="e">
        <f t="shared" si="19"/>
        <v>#DIV/0!</v>
      </c>
      <c r="F186" s="331" t="e">
        <f t="shared" si="19"/>
        <v>#DIV/0!</v>
      </c>
      <c r="G186" s="331">
        <f t="shared" si="20"/>
        <v>0</v>
      </c>
      <c r="H186" s="331">
        <f t="shared" si="20"/>
        <v>0</v>
      </c>
      <c r="I186" s="331" t="e">
        <f t="shared" si="21"/>
        <v>#DIV/0!</v>
      </c>
      <c r="J186" s="322">
        <f t="shared" si="28"/>
        <v>0</v>
      </c>
      <c r="K186" s="323"/>
      <c r="N186" s="316"/>
      <c r="O186" s="321">
        <f t="shared" si="17"/>
        <v>2027</v>
      </c>
      <c r="P186" s="322">
        <v>0</v>
      </c>
      <c r="Q186" s="322">
        <v>0</v>
      </c>
      <c r="R186" s="331" t="e">
        <f t="shared" si="22"/>
        <v>#DIV/0!</v>
      </c>
      <c r="S186" s="331" t="e">
        <f t="shared" si="22"/>
        <v>#DIV/0!</v>
      </c>
      <c r="T186" s="331">
        <f t="shared" si="23"/>
        <v>0</v>
      </c>
      <c r="U186" s="331">
        <f t="shared" si="23"/>
        <v>0</v>
      </c>
      <c r="V186" s="331" t="e">
        <f t="shared" si="24"/>
        <v>#DIV/0!</v>
      </c>
      <c r="W186" s="322">
        <f t="shared" si="29"/>
        <v>0</v>
      </c>
      <c r="X186" s="322"/>
      <c r="Y186" s="323"/>
      <c r="AB186" s="316"/>
      <c r="AC186" s="321">
        <f t="shared" si="18"/>
        <v>2027</v>
      </c>
      <c r="AD186" s="322">
        <v>0</v>
      </c>
      <c r="AE186" s="322">
        <v>0</v>
      </c>
      <c r="AF186" s="331" t="e">
        <f t="shared" si="25"/>
        <v>#DIV/0!</v>
      </c>
      <c r="AG186" s="331" t="e">
        <f t="shared" si="25"/>
        <v>#DIV/0!</v>
      </c>
      <c r="AH186" s="331">
        <f t="shared" si="26"/>
        <v>0</v>
      </c>
      <c r="AI186" s="331">
        <f t="shared" si="26"/>
        <v>0</v>
      </c>
      <c r="AJ186" s="331" t="e">
        <f t="shared" si="27"/>
        <v>#DIV/0!</v>
      </c>
      <c r="AK186" s="322">
        <f t="shared" si="30"/>
        <v>0</v>
      </c>
      <c r="AL186" s="323"/>
      <c r="AO186" s="316"/>
    </row>
    <row r="187" spans="2:41" s="314" customFormat="1" ht="15.75" hidden="1" x14ac:dyDescent="0.25">
      <c r="B187" s="321">
        <f t="shared" si="16"/>
        <v>2028</v>
      </c>
      <c r="C187" s="322">
        <v>0</v>
      </c>
      <c r="D187" s="322">
        <f>D168</f>
        <v>0</v>
      </c>
      <c r="E187" s="331" t="e">
        <f t="shared" si="19"/>
        <v>#DIV/0!</v>
      </c>
      <c r="F187" s="331" t="e">
        <f t="shared" si="19"/>
        <v>#DIV/0!</v>
      </c>
      <c r="G187" s="331">
        <f t="shared" si="20"/>
        <v>0</v>
      </c>
      <c r="H187" s="331">
        <f t="shared" si="20"/>
        <v>0</v>
      </c>
      <c r="I187" s="331" t="e">
        <f t="shared" si="21"/>
        <v>#DIV/0!</v>
      </c>
      <c r="J187" s="322">
        <f t="shared" si="28"/>
        <v>0</v>
      </c>
      <c r="K187" s="323"/>
      <c r="N187" s="316"/>
      <c r="O187" s="321">
        <f t="shared" si="17"/>
        <v>2028</v>
      </c>
      <c r="P187" s="322">
        <v>0</v>
      </c>
      <c r="Q187" s="322">
        <f>Q168</f>
        <v>0</v>
      </c>
      <c r="R187" s="331" t="e">
        <f t="shared" si="22"/>
        <v>#DIV/0!</v>
      </c>
      <c r="S187" s="331" t="e">
        <f t="shared" si="22"/>
        <v>#DIV/0!</v>
      </c>
      <c r="T187" s="331">
        <f t="shared" si="23"/>
        <v>0</v>
      </c>
      <c r="U187" s="331">
        <f t="shared" si="23"/>
        <v>0</v>
      </c>
      <c r="V187" s="331" t="e">
        <f t="shared" si="24"/>
        <v>#DIV/0!</v>
      </c>
      <c r="W187" s="322">
        <f t="shared" si="29"/>
        <v>0</v>
      </c>
      <c r="X187" s="322"/>
      <c r="Y187" s="323"/>
      <c r="AB187" s="316"/>
      <c r="AC187" s="321">
        <f t="shared" si="18"/>
        <v>2028</v>
      </c>
      <c r="AD187" s="322">
        <v>0</v>
      </c>
      <c r="AE187" s="322">
        <f>AE168</f>
        <v>0</v>
      </c>
      <c r="AF187" s="331" t="e">
        <f t="shared" si="25"/>
        <v>#DIV/0!</v>
      </c>
      <c r="AG187" s="331" t="e">
        <f t="shared" si="25"/>
        <v>#DIV/0!</v>
      </c>
      <c r="AH187" s="331">
        <f t="shared" si="26"/>
        <v>0</v>
      </c>
      <c r="AI187" s="331">
        <f t="shared" si="26"/>
        <v>0</v>
      </c>
      <c r="AJ187" s="331" t="e">
        <f t="shared" si="27"/>
        <v>#DIV/0!</v>
      </c>
      <c r="AK187" s="322">
        <f t="shared" si="30"/>
        <v>0</v>
      </c>
      <c r="AL187" s="323"/>
      <c r="AO187" s="316"/>
    </row>
    <row r="188" spans="2:41" s="314" customFormat="1" ht="15.75" hidden="1" x14ac:dyDescent="0.25">
      <c r="B188" s="321">
        <f t="shared" si="16"/>
        <v>2029</v>
      </c>
      <c r="C188" s="322">
        <v>0</v>
      </c>
      <c r="D188" s="322">
        <f>D169</f>
        <v>0</v>
      </c>
      <c r="E188" s="331" t="e">
        <f t="shared" si="19"/>
        <v>#DIV/0!</v>
      </c>
      <c r="F188" s="331" t="e">
        <f t="shared" si="19"/>
        <v>#DIV/0!</v>
      </c>
      <c r="G188" s="331">
        <f t="shared" si="20"/>
        <v>0</v>
      </c>
      <c r="H188" s="331">
        <f t="shared" si="20"/>
        <v>0</v>
      </c>
      <c r="I188" s="331" t="e">
        <f t="shared" si="21"/>
        <v>#DIV/0!</v>
      </c>
      <c r="J188" s="322">
        <f t="shared" si="28"/>
        <v>0</v>
      </c>
      <c r="K188" s="323"/>
      <c r="N188" s="316"/>
      <c r="O188" s="321">
        <f t="shared" si="17"/>
        <v>2029</v>
      </c>
      <c r="P188" s="322">
        <v>0</v>
      </c>
      <c r="Q188" s="322">
        <f>Q169</f>
        <v>0</v>
      </c>
      <c r="R188" s="331" t="e">
        <f t="shared" si="22"/>
        <v>#DIV/0!</v>
      </c>
      <c r="S188" s="331" t="e">
        <f t="shared" si="22"/>
        <v>#DIV/0!</v>
      </c>
      <c r="T188" s="331">
        <f t="shared" si="23"/>
        <v>0</v>
      </c>
      <c r="U188" s="331">
        <f t="shared" si="23"/>
        <v>0</v>
      </c>
      <c r="V188" s="331" t="e">
        <f t="shared" si="24"/>
        <v>#DIV/0!</v>
      </c>
      <c r="W188" s="322">
        <f t="shared" si="29"/>
        <v>0</v>
      </c>
      <c r="X188" s="322"/>
      <c r="Y188" s="323"/>
      <c r="AB188" s="316"/>
      <c r="AC188" s="321">
        <f t="shared" si="18"/>
        <v>2029</v>
      </c>
      <c r="AD188" s="322">
        <v>0</v>
      </c>
      <c r="AE188" s="322">
        <f>AE169</f>
        <v>0</v>
      </c>
      <c r="AF188" s="331" t="e">
        <f t="shared" si="25"/>
        <v>#DIV/0!</v>
      </c>
      <c r="AG188" s="331" t="e">
        <f t="shared" si="25"/>
        <v>#DIV/0!</v>
      </c>
      <c r="AH188" s="331">
        <f t="shared" si="26"/>
        <v>0</v>
      </c>
      <c r="AI188" s="331">
        <f t="shared" si="26"/>
        <v>0</v>
      </c>
      <c r="AJ188" s="331" t="e">
        <f t="shared" si="27"/>
        <v>#DIV/0!</v>
      </c>
      <c r="AK188" s="322">
        <f t="shared" si="30"/>
        <v>0</v>
      </c>
      <c r="AL188" s="323"/>
      <c r="AO188" s="316"/>
    </row>
    <row r="189" spans="2:41" s="314" customFormat="1" ht="15.75" hidden="1" x14ac:dyDescent="0.25">
      <c r="B189" s="321">
        <f t="shared" si="16"/>
        <v>2030</v>
      </c>
      <c r="C189" s="322">
        <v>0</v>
      </c>
      <c r="D189" s="322">
        <f t="shared" ref="D189:D197" si="31">D170</f>
        <v>0</v>
      </c>
      <c r="E189" s="331" t="e">
        <f t="shared" si="19"/>
        <v>#DIV/0!</v>
      </c>
      <c r="F189" s="331" t="e">
        <f t="shared" si="19"/>
        <v>#DIV/0!</v>
      </c>
      <c r="G189" s="331">
        <f t="shared" si="20"/>
        <v>0</v>
      </c>
      <c r="H189" s="331">
        <f t="shared" si="20"/>
        <v>0</v>
      </c>
      <c r="I189" s="331" t="e">
        <f t="shared" si="21"/>
        <v>#DIV/0!</v>
      </c>
      <c r="J189" s="322">
        <f t="shared" si="28"/>
        <v>0</v>
      </c>
      <c r="K189" s="323"/>
      <c r="N189" s="316"/>
      <c r="O189" s="321">
        <f t="shared" si="17"/>
        <v>2030</v>
      </c>
      <c r="P189" s="322">
        <v>0</v>
      </c>
      <c r="Q189" s="322">
        <f t="shared" ref="Q189:Q197" si="32">Q170</f>
        <v>0</v>
      </c>
      <c r="R189" s="331" t="e">
        <f t="shared" si="22"/>
        <v>#DIV/0!</v>
      </c>
      <c r="S189" s="331" t="e">
        <f t="shared" si="22"/>
        <v>#DIV/0!</v>
      </c>
      <c r="T189" s="331">
        <f t="shared" si="23"/>
        <v>0</v>
      </c>
      <c r="U189" s="331">
        <f t="shared" si="23"/>
        <v>0</v>
      </c>
      <c r="V189" s="331" t="e">
        <f t="shared" si="24"/>
        <v>#DIV/0!</v>
      </c>
      <c r="W189" s="322">
        <f t="shared" si="29"/>
        <v>0</v>
      </c>
      <c r="X189" s="322"/>
      <c r="Y189" s="323"/>
      <c r="AB189" s="316"/>
      <c r="AC189" s="321">
        <f t="shared" si="18"/>
        <v>2030</v>
      </c>
      <c r="AD189" s="322">
        <v>0</v>
      </c>
      <c r="AE189" s="322">
        <f t="shared" ref="AE189:AE197" si="33">AE170</f>
        <v>0</v>
      </c>
      <c r="AF189" s="331" t="e">
        <f t="shared" si="25"/>
        <v>#DIV/0!</v>
      </c>
      <c r="AG189" s="331" t="e">
        <f t="shared" si="25"/>
        <v>#DIV/0!</v>
      </c>
      <c r="AH189" s="331">
        <f t="shared" si="26"/>
        <v>0</v>
      </c>
      <c r="AI189" s="331">
        <f t="shared" si="26"/>
        <v>0</v>
      </c>
      <c r="AJ189" s="331" t="e">
        <f t="shared" si="27"/>
        <v>#DIV/0!</v>
      </c>
      <c r="AK189" s="322">
        <f t="shared" si="30"/>
        <v>0</v>
      </c>
      <c r="AL189" s="323"/>
      <c r="AO189" s="316"/>
    </row>
    <row r="190" spans="2:41" s="314" customFormat="1" ht="15.75" hidden="1" x14ac:dyDescent="0.25">
      <c r="B190" s="321">
        <f t="shared" si="16"/>
        <v>2031</v>
      </c>
      <c r="C190" s="322">
        <v>0</v>
      </c>
      <c r="D190" s="322">
        <f t="shared" si="31"/>
        <v>0</v>
      </c>
      <c r="E190" s="331" t="e">
        <f t="shared" ref="E190:F197" si="34">E189*$J190/$J189</f>
        <v>#DIV/0!</v>
      </c>
      <c r="F190" s="331" t="e">
        <f t="shared" si="34"/>
        <v>#DIV/0!</v>
      </c>
      <c r="G190" s="331">
        <f t="shared" ref="G190:H197" si="35">G189</f>
        <v>0</v>
      </c>
      <c r="H190" s="331">
        <f t="shared" si="35"/>
        <v>0</v>
      </c>
      <c r="I190" s="331" t="e">
        <f t="shared" si="21"/>
        <v>#DIV/0!</v>
      </c>
      <c r="J190" s="322">
        <f t="shared" si="28"/>
        <v>0</v>
      </c>
      <c r="K190" s="323"/>
      <c r="N190" s="316"/>
      <c r="O190" s="321">
        <f t="shared" si="17"/>
        <v>2031</v>
      </c>
      <c r="P190" s="322">
        <v>0</v>
      </c>
      <c r="Q190" s="322">
        <f t="shared" si="32"/>
        <v>0</v>
      </c>
      <c r="R190" s="331" t="e">
        <f t="shared" ref="R190:S197" si="36">R189*$J190/$J189</f>
        <v>#DIV/0!</v>
      </c>
      <c r="S190" s="331" t="e">
        <f t="shared" si="36"/>
        <v>#DIV/0!</v>
      </c>
      <c r="T190" s="331">
        <f t="shared" ref="T190:U197" si="37">T189</f>
        <v>0</v>
      </c>
      <c r="U190" s="331">
        <f t="shared" si="37"/>
        <v>0</v>
      </c>
      <c r="V190" s="331" t="e">
        <f t="shared" si="24"/>
        <v>#DIV/0!</v>
      </c>
      <c r="W190" s="322">
        <f t="shared" si="29"/>
        <v>0</v>
      </c>
      <c r="X190" s="322"/>
      <c r="Y190" s="323"/>
      <c r="AB190" s="316"/>
      <c r="AC190" s="321">
        <f t="shared" si="18"/>
        <v>2031</v>
      </c>
      <c r="AD190" s="322">
        <v>0</v>
      </c>
      <c r="AE190" s="322">
        <f t="shared" si="33"/>
        <v>0</v>
      </c>
      <c r="AF190" s="331" t="e">
        <f t="shared" ref="AF190:AG197" si="38">AF189*$J190/$J189</f>
        <v>#DIV/0!</v>
      </c>
      <c r="AG190" s="331" t="e">
        <f t="shared" si="38"/>
        <v>#DIV/0!</v>
      </c>
      <c r="AH190" s="331">
        <f t="shared" ref="AH190:AI197" si="39">AH189</f>
        <v>0</v>
      </c>
      <c r="AI190" s="331">
        <f t="shared" si="39"/>
        <v>0</v>
      </c>
      <c r="AJ190" s="331" t="e">
        <f t="shared" si="27"/>
        <v>#DIV/0!</v>
      </c>
      <c r="AK190" s="322">
        <f t="shared" si="30"/>
        <v>0</v>
      </c>
      <c r="AL190" s="323"/>
      <c r="AO190" s="316"/>
    </row>
    <row r="191" spans="2:41" s="314" customFormat="1" ht="15.75" hidden="1" x14ac:dyDescent="0.25">
      <c r="B191" s="321">
        <f t="shared" si="16"/>
        <v>2032</v>
      </c>
      <c r="C191" s="322">
        <v>0</v>
      </c>
      <c r="D191" s="322">
        <f t="shared" si="31"/>
        <v>0</v>
      </c>
      <c r="E191" s="331" t="e">
        <f t="shared" si="34"/>
        <v>#DIV/0!</v>
      </c>
      <c r="F191" s="331" t="e">
        <f t="shared" si="34"/>
        <v>#DIV/0!</v>
      </c>
      <c r="G191" s="331">
        <f t="shared" si="35"/>
        <v>0</v>
      </c>
      <c r="H191" s="331">
        <f t="shared" si="35"/>
        <v>0</v>
      </c>
      <c r="I191" s="331" t="e">
        <f t="shared" si="21"/>
        <v>#DIV/0!</v>
      </c>
      <c r="J191" s="322">
        <f t="shared" si="28"/>
        <v>0</v>
      </c>
      <c r="K191" s="323"/>
      <c r="N191" s="316"/>
      <c r="O191" s="321">
        <f t="shared" si="17"/>
        <v>2032</v>
      </c>
      <c r="P191" s="322">
        <v>0</v>
      </c>
      <c r="Q191" s="322">
        <f t="shared" si="32"/>
        <v>0</v>
      </c>
      <c r="R191" s="331" t="e">
        <f t="shared" si="36"/>
        <v>#DIV/0!</v>
      </c>
      <c r="S191" s="331" t="e">
        <f t="shared" si="36"/>
        <v>#DIV/0!</v>
      </c>
      <c r="T191" s="331">
        <f t="shared" si="37"/>
        <v>0</v>
      </c>
      <c r="U191" s="331">
        <f t="shared" si="37"/>
        <v>0</v>
      </c>
      <c r="V191" s="331" t="e">
        <f t="shared" si="24"/>
        <v>#DIV/0!</v>
      </c>
      <c r="W191" s="322">
        <f t="shared" si="29"/>
        <v>0</v>
      </c>
      <c r="X191" s="322"/>
      <c r="Y191" s="323"/>
      <c r="AB191" s="316"/>
      <c r="AC191" s="321">
        <f t="shared" si="18"/>
        <v>2032</v>
      </c>
      <c r="AD191" s="322">
        <v>0</v>
      </c>
      <c r="AE191" s="322">
        <f t="shared" si="33"/>
        <v>0</v>
      </c>
      <c r="AF191" s="331" t="e">
        <f t="shared" si="38"/>
        <v>#DIV/0!</v>
      </c>
      <c r="AG191" s="331" t="e">
        <f t="shared" si="38"/>
        <v>#DIV/0!</v>
      </c>
      <c r="AH191" s="331">
        <f t="shared" si="39"/>
        <v>0</v>
      </c>
      <c r="AI191" s="331">
        <f t="shared" si="39"/>
        <v>0</v>
      </c>
      <c r="AJ191" s="331" t="e">
        <f t="shared" si="27"/>
        <v>#DIV/0!</v>
      </c>
      <c r="AK191" s="322">
        <f t="shared" si="30"/>
        <v>0</v>
      </c>
      <c r="AL191" s="323"/>
      <c r="AO191" s="316"/>
    </row>
    <row r="192" spans="2:41" s="314" customFormat="1" ht="15.75" hidden="1" x14ac:dyDescent="0.25">
      <c r="B192" s="321">
        <f t="shared" si="16"/>
        <v>2033</v>
      </c>
      <c r="C192" s="322">
        <v>0</v>
      </c>
      <c r="D192" s="322">
        <f t="shared" si="31"/>
        <v>0</v>
      </c>
      <c r="E192" s="331" t="e">
        <f t="shared" si="34"/>
        <v>#DIV/0!</v>
      </c>
      <c r="F192" s="331" t="e">
        <f t="shared" si="34"/>
        <v>#DIV/0!</v>
      </c>
      <c r="G192" s="331">
        <f t="shared" si="35"/>
        <v>0</v>
      </c>
      <c r="H192" s="331">
        <f t="shared" si="35"/>
        <v>0</v>
      </c>
      <c r="I192" s="331" t="e">
        <f t="shared" si="21"/>
        <v>#DIV/0!</v>
      </c>
      <c r="J192" s="322">
        <f t="shared" si="28"/>
        <v>0</v>
      </c>
      <c r="K192" s="323"/>
      <c r="N192" s="316"/>
      <c r="O192" s="321">
        <f t="shared" si="17"/>
        <v>2033</v>
      </c>
      <c r="P192" s="322">
        <v>0</v>
      </c>
      <c r="Q192" s="322">
        <f t="shared" si="32"/>
        <v>0</v>
      </c>
      <c r="R192" s="331" t="e">
        <f t="shared" si="36"/>
        <v>#DIV/0!</v>
      </c>
      <c r="S192" s="331" t="e">
        <f t="shared" si="36"/>
        <v>#DIV/0!</v>
      </c>
      <c r="T192" s="331">
        <f t="shared" si="37"/>
        <v>0</v>
      </c>
      <c r="U192" s="331">
        <f t="shared" si="37"/>
        <v>0</v>
      </c>
      <c r="V192" s="331" t="e">
        <f t="shared" si="24"/>
        <v>#DIV/0!</v>
      </c>
      <c r="W192" s="322">
        <f t="shared" si="29"/>
        <v>0</v>
      </c>
      <c r="X192" s="322"/>
      <c r="Y192" s="323"/>
      <c r="AB192" s="316"/>
      <c r="AC192" s="321">
        <f t="shared" si="18"/>
        <v>2033</v>
      </c>
      <c r="AD192" s="322">
        <v>0</v>
      </c>
      <c r="AE192" s="322">
        <f t="shared" si="33"/>
        <v>0</v>
      </c>
      <c r="AF192" s="331" t="e">
        <f t="shared" si="38"/>
        <v>#DIV/0!</v>
      </c>
      <c r="AG192" s="331" t="e">
        <f t="shared" si="38"/>
        <v>#DIV/0!</v>
      </c>
      <c r="AH192" s="331">
        <f t="shared" si="39"/>
        <v>0</v>
      </c>
      <c r="AI192" s="331">
        <f t="shared" si="39"/>
        <v>0</v>
      </c>
      <c r="AJ192" s="331" t="e">
        <f t="shared" si="27"/>
        <v>#DIV/0!</v>
      </c>
      <c r="AK192" s="322">
        <f t="shared" si="30"/>
        <v>0</v>
      </c>
      <c r="AL192" s="323"/>
      <c r="AO192" s="316"/>
    </row>
    <row r="193" spans="2:43" s="314" customFormat="1" ht="15.75" hidden="1" x14ac:dyDescent="0.25">
      <c r="B193" s="321">
        <f t="shared" si="16"/>
        <v>2034</v>
      </c>
      <c r="C193" s="322">
        <v>0</v>
      </c>
      <c r="D193" s="322">
        <f t="shared" si="31"/>
        <v>0</v>
      </c>
      <c r="E193" s="331" t="e">
        <f t="shared" si="34"/>
        <v>#DIV/0!</v>
      </c>
      <c r="F193" s="331" t="e">
        <f t="shared" si="34"/>
        <v>#DIV/0!</v>
      </c>
      <c r="G193" s="331">
        <f t="shared" si="35"/>
        <v>0</v>
      </c>
      <c r="H193" s="331">
        <f t="shared" si="35"/>
        <v>0</v>
      </c>
      <c r="I193" s="331" t="e">
        <f t="shared" si="21"/>
        <v>#DIV/0!</v>
      </c>
      <c r="J193" s="322">
        <f t="shared" si="28"/>
        <v>0</v>
      </c>
      <c r="K193" s="323"/>
      <c r="N193" s="316"/>
      <c r="O193" s="321">
        <f t="shared" si="17"/>
        <v>2034</v>
      </c>
      <c r="P193" s="322">
        <v>0</v>
      </c>
      <c r="Q193" s="322">
        <f t="shared" si="32"/>
        <v>0</v>
      </c>
      <c r="R193" s="331" t="e">
        <f t="shared" si="36"/>
        <v>#DIV/0!</v>
      </c>
      <c r="S193" s="331" t="e">
        <f t="shared" si="36"/>
        <v>#DIV/0!</v>
      </c>
      <c r="T193" s="331">
        <f t="shared" si="37"/>
        <v>0</v>
      </c>
      <c r="U193" s="331">
        <f t="shared" si="37"/>
        <v>0</v>
      </c>
      <c r="V193" s="331" t="e">
        <f t="shared" si="24"/>
        <v>#DIV/0!</v>
      </c>
      <c r="W193" s="322">
        <f t="shared" si="29"/>
        <v>0</v>
      </c>
      <c r="X193" s="322"/>
      <c r="Y193" s="323"/>
      <c r="AB193" s="316"/>
      <c r="AC193" s="321">
        <f t="shared" si="18"/>
        <v>2034</v>
      </c>
      <c r="AD193" s="322">
        <v>0</v>
      </c>
      <c r="AE193" s="322">
        <f t="shared" si="33"/>
        <v>0</v>
      </c>
      <c r="AF193" s="331" t="e">
        <f t="shared" si="38"/>
        <v>#DIV/0!</v>
      </c>
      <c r="AG193" s="331" t="e">
        <f t="shared" si="38"/>
        <v>#DIV/0!</v>
      </c>
      <c r="AH193" s="331">
        <f t="shared" si="39"/>
        <v>0</v>
      </c>
      <c r="AI193" s="331">
        <f t="shared" si="39"/>
        <v>0</v>
      </c>
      <c r="AJ193" s="331" t="e">
        <f t="shared" si="27"/>
        <v>#DIV/0!</v>
      </c>
      <c r="AK193" s="322">
        <f t="shared" si="30"/>
        <v>0</v>
      </c>
      <c r="AL193" s="323"/>
      <c r="AO193" s="316"/>
    </row>
    <row r="194" spans="2:43" s="314" customFormat="1" ht="15.75" hidden="1" x14ac:dyDescent="0.25">
      <c r="B194" s="321">
        <f t="shared" si="16"/>
        <v>2035</v>
      </c>
      <c r="C194" s="322">
        <v>0</v>
      </c>
      <c r="D194" s="322">
        <f t="shared" si="31"/>
        <v>0</v>
      </c>
      <c r="E194" s="331" t="e">
        <f t="shared" si="34"/>
        <v>#DIV/0!</v>
      </c>
      <c r="F194" s="331" t="e">
        <f t="shared" si="34"/>
        <v>#DIV/0!</v>
      </c>
      <c r="G194" s="331">
        <f t="shared" si="35"/>
        <v>0</v>
      </c>
      <c r="H194" s="331">
        <f t="shared" si="35"/>
        <v>0</v>
      </c>
      <c r="I194" s="331" t="e">
        <f t="shared" si="21"/>
        <v>#DIV/0!</v>
      </c>
      <c r="J194" s="322">
        <f t="shared" si="28"/>
        <v>0</v>
      </c>
      <c r="K194" s="323"/>
      <c r="N194" s="316"/>
      <c r="O194" s="321">
        <f t="shared" si="17"/>
        <v>2035</v>
      </c>
      <c r="P194" s="322">
        <v>0</v>
      </c>
      <c r="Q194" s="322">
        <f t="shared" si="32"/>
        <v>0</v>
      </c>
      <c r="R194" s="331" t="e">
        <f t="shared" si="36"/>
        <v>#DIV/0!</v>
      </c>
      <c r="S194" s="331" t="e">
        <f t="shared" si="36"/>
        <v>#DIV/0!</v>
      </c>
      <c r="T194" s="331">
        <f t="shared" si="37"/>
        <v>0</v>
      </c>
      <c r="U194" s="331">
        <f t="shared" si="37"/>
        <v>0</v>
      </c>
      <c r="V194" s="331" t="e">
        <f t="shared" si="24"/>
        <v>#DIV/0!</v>
      </c>
      <c r="W194" s="322">
        <f t="shared" si="29"/>
        <v>0</v>
      </c>
      <c r="X194" s="322"/>
      <c r="Y194" s="323"/>
      <c r="AB194" s="316"/>
      <c r="AC194" s="321">
        <f t="shared" si="18"/>
        <v>2035</v>
      </c>
      <c r="AD194" s="322">
        <v>0</v>
      </c>
      <c r="AE194" s="322">
        <f t="shared" si="33"/>
        <v>0</v>
      </c>
      <c r="AF194" s="331" t="e">
        <f t="shared" si="38"/>
        <v>#DIV/0!</v>
      </c>
      <c r="AG194" s="331" t="e">
        <f t="shared" si="38"/>
        <v>#DIV/0!</v>
      </c>
      <c r="AH194" s="331">
        <f t="shared" si="39"/>
        <v>0</v>
      </c>
      <c r="AI194" s="331">
        <f t="shared" si="39"/>
        <v>0</v>
      </c>
      <c r="AJ194" s="331" t="e">
        <f t="shared" si="27"/>
        <v>#DIV/0!</v>
      </c>
      <c r="AK194" s="322">
        <f t="shared" si="30"/>
        <v>0</v>
      </c>
      <c r="AL194" s="323"/>
      <c r="AO194" s="316"/>
    </row>
    <row r="195" spans="2:43" s="314" customFormat="1" ht="15.75" hidden="1" x14ac:dyDescent="0.25">
      <c r="B195" s="321">
        <f t="shared" si="16"/>
        <v>2036</v>
      </c>
      <c r="C195" s="322">
        <v>0</v>
      </c>
      <c r="D195" s="322">
        <f t="shared" si="31"/>
        <v>0</v>
      </c>
      <c r="E195" s="331" t="e">
        <f t="shared" si="34"/>
        <v>#DIV/0!</v>
      </c>
      <c r="F195" s="331" t="e">
        <f t="shared" si="34"/>
        <v>#DIV/0!</v>
      </c>
      <c r="G195" s="331">
        <f t="shared" si="35"/>
        <v>0</v>
      </c>
      <c r="H195" s="331">
        <f t="shared" si="35"/>
        <v>0</v>
      </c>
      <c r="I195" s="331" t="e">
        <f t="shared" si="21"/>
        <v>#DIV/0!</v>
      </c>
      <c r="J195" s="322">
        <f t="shared" si="28"/>
        <v>0</v>
      </c>
      <c r="K195" s="323"/>
      <c r="N195" s="316"/>
      <c r="O195" s="321">
        <f t="shared" si="17"/>
        <v>2036</v>
      </c>
      <c r="P195" s="322">
        <v>0</v>
      </c>
      <c r="Q195" s="322">
        <f t="shared" si="32"/>
        <v>0</v>
      </c>
      <c r="R195" s="331" t="e">
        <f t="shared" si="36"/>
        <v>#DIV/0!</v>
      </c>
      <c r="S195" s="331" t="e">
        <f t="shared" si="36"/>
        <v>#DIV/0!</v>
      </c>
      <c r="T195" s="331">
        <f t="shared" si="37"/>
        <v>0</v>
      </c>
      <c r="U195" s="331">
        <f t="shared" si="37"/>
        <v>0</v>
      </c>
      <c r="V195" s="331" t="e">
        <f t="shared" si="24"/>
        <v>#DIV/0!</v>
      </c>
      <c r="W195" s="322">
        <f t="shared" si="29"/>
        <v>0</v>
      </c>
      <c r="X195" s="322"/>
      <c r="Y195" s="323"/>
      <c r="AB195" s="316"/>
      <c r="AC195" s="321">
        <f t="shared" si="18"/>
        <v>2036</v>
      </c>
      <c r="AD195" s="322">
        <v>0</v>
      </c>
      <c r="AE195" s="322">
        <f t="shared" si="33"/>
        <v>0</v>
      </c>
      <c r="AF195" s="331" t="e">
        <f t="shared" si="38"/>
        <v>#DIV/0!</v>
      </c>
      <c r="AG195" s="331" t="e">
        <f t="shared" si="38"/>
        <v>#DIV/0!</v>
      </c>
      <c r="AH195" s="331">
        <f t="shared" si="39"/>
        <v>0</v>
      </c>
      <c r="AI195" s="331">
        <f t="shared" si="39"/>
        <v>0</v>
      </c>
      <c r="AJ195" s="331" t="e">
        <f t="shared" si="27"/>
        <v>#DIV/0!</v>
      </c>
      <c r="AK195" s="322">
        <f t="shared" si="30"/>
        <v>0</v>
      </c>
      <c r="AL195" s="323"/>
      <c r="AO195" s="316"/>
    </row>
    <row r="196" spans="2:43" s="314" customFormat="1" ht="15.75" hidden="1" x14ac:dyDescent="0.25">
      <c r="B196" s="321">
        <v>2037</v>
      </c>
      <c r="C196" s="322">
        <v>0</v>
      </c>
      <c r="D196" s="322">
        <f t="shared" si="31"/>
        <v>0</v>
      </c>
      <c r="E196" s="331" t="e">
        <f t="shared" si="34"/>
        <v>#DIV/0!</v>
      </c>
      <c r="F196" s="331" t="e">
        <f t="shared" si="34"/>
        <v>#DIV/0!</v>
      </c>
      <c r="G196" s="331">
        <f t="shared" si="35"/>
        <v>0</v>
      </c>
      <c r="H196" s="331">
        <f t="shared" si="35"/>
        <v>0</v>
      </c>
      <c r="I196" s="331" t="e">
        <f t="shared" si="21"/>
        <v>#DIV/0!</v>
      </c>
      <c r="J196" s="322">
        <f t="shared" si="28"/>
        <v>0</v>
      </c>
      <c r="K196" s="323"/>
      <c r="N196" s="316"/>
      <c r="O196" s="321">
        <v>2037</v>
      </c>
      <c r="P196" s="322">
        <v>0</v>
      </c>
      <c r="Q196" s="322">
        <f t="shared" si="32"/>
        <v>0</v>
      </c>
      <c r="R196" s="331" t="e">
        <f t="shared" si="36"/>
        <v>#DIV/0!</v>
      </c>
      <c r="S196" s="331" t="e">
        <f t="shared" si="36"/>
        <v>#DIV/0!</v>
      </c>
      <c r="T196" s="331">
        <f t="shared" si="37"/>
        <v>0</v>
      </c>
      <c r="U196" s="331">
        <f t="shared" si="37"/>
        <v>0</v>
      </c>
      <c r="V196" s="331" t="e">
        <f t="shared" si="24"/>
        <v>#DIV/0!</v>
      </c>
      <c r="W196" s="322">
        <f t="shared" si="29"/>
        <v>0</v>
      </c>
      <c r="X196" s="322"/>
      <c r="Y196" s="323"/>
      <c r="AB196" s="316"/>
      <c r="AC196" s="321">
        <v>2037</v>
      </c>
      <c r="AD196" s="322">
        <v>0</v>
      </c>
      <c r="AE196" s="322">
        <f t="shared" si="33"/>
        <v>0</v>
      </c>
      <c r="AF196" s="331" t="e">
        <f t="shared" si="38"/>
        <v>#DIV/0!</v>
      </c>
      <c r="AG196" s="331" t="e">
        <f t="shared" si="38"/>
        <v>#DIV/0!</v>
      </c>
      <c r="AH196" s="331">
        <f t="shared" si="39"/>
        <v>0</v>
      </c>
      <c r="AI196" s="331">
        <f t="shared" si="39"/>
        <v>0</v>
      </c>
      <c r="AJ196" s="331" t="e">
        <f t="shared" si="27"/>
        <v>#DIV/0!</v>
      </c>
      <c r="AK196" s="322">
        <f t="shared" si="30"/>
        <v>0</v>
      </c>
      <c r="AL196" s="323"/>
      <c r="AO196" s="316"/>
    </row>
    <row r="197" spans="2:43" s="314" customFormat="1" ht="15.75" hidden="1" x14ac:dyDescent="0.25">
      <c r="B197" s="321">
        <v>2038</v>
      </c>
      <c r="C197" s="322">
        <v>0</v>
      </c>
      <c r="D197" s="322">
        <f t="shared" si="31"/>
        <v>0</v>
      </c>
      <c r="E197" s="331" t="e">
        <f t="shared" si="34"/>
        <v>#DIV/0!</v>
      </c>
      <c r="F197" s="331" t="e">
        <f t="shared" si="34"/>
        <v>#DIV/0!</v>
      </c>
      <c r="G197" s="331">
        <f t="shared" si="35"/>
        <v>0</v>
      </c>
      <c r="H197" s="331">
        <f t="shared" si="35"/>
        <v>0</v>
      </c>
      <c r="I197" s="331" t="e">
        <f t="shared" si="21"/>
        <v>#DIV/0!</v>
      </c>
      <c r="J197" s="322">
        <f t="shared" si="28"/>
        <v>0</v>
      </c>
      <c r="K197" s="323"/>
      <c r="N197" s="316"/>
      <c r="O197" s="321">
        <v>2038</v>
      </c>
      <c r="P197" s="322">
        <v>0</v>
      </c>
      <c r="Q197" s="322">
        <f t="shared" si="32"/>
        <v>0</v>
      </c>
      <c r="R197" s="331" t="e">
        <f t="shared" si="36"/>
        <v>#DIV/0!</v>
      </c>
      <c r="S197" s="331" t="e">
        <f t="shared" si="36"/>
        <v>#DIV/0!</v>
      </c>
      <c r="T197" s="331">
        <f t="shared" si="37"/>
        <v>0</v>
      </c>
      <c r="U197" s="331">
        <f t="shared" si="37"/>
        <v>0</v>
      </c>
      <c r="V197" s="331" t="e">
        <f t="shared" si="24"/>
        <v>#DIV/0!</v>
      </c>
      <c r="W197" s="322">
        <f t="shared" si="29"/>
        <v>0</v>
      </c>
      <c r="X197" s="322"/>
      <c r="Y197" s="323"/>
      <c r="AB197" s="316"/>
      <c r="AC197" s="321">
        <v>2038</v>
      </c>
      <c r="AD197" s="322">
        <v>0</v>
      </c>
      <c r="AE197" s="322">
        <f t="shared" si="33"/>
        <v>0</v>
      </c>
      <c r="AF197" s="331" t="e">
        <f t="shared" si="38"/>
        <v>#DIV/0!</v>
      </c>
      <c r="AG197" s="331" t="e">
        <f t="shared" si="38"/>
        <v>#DIV/0!</v>
      </c>
      <c r="AH197" s="331">
        <f t="shared" si="39"/>
        <v>0</v>
      </c>
      <c r="AI197" s="331">
        <f t="shared" si="39"/>
        <v>0</v>
      </c>
      <c r="AJ197" s="331" t="e">
        <f t="shared" si="27"/>
        <v>#DIV/0!</v>
      </c>
      <c r="AK197" s="322">
        <f t="shared" si="30"/>
        <v>0</v>
      </c>
      <c r="AL197" s="323"/>
      <c r="AO197" s="316"/>
    </row>
    <row r="198" spans="2:43" s="314" customFormat="1" ht="15.75" hidden="1" x14ac:dyDescent="0.25">
      <c r="B198" s="338" t="s">
        <v>261</v>
      </c>
      <c r="C198" s="322">
        <f>-SUM(C168:C172)+25*(SUM(C169:C172)/40)</f>
        <v>0</v>
      </c>
      <c r="D198" s="322">
        <f>-SUM(D187:D191)+6*(SUM(D187:D191)/15)</f>
        <v>0</v>
      </c>
      <c r="E198" s="322">
        <v>0</v>
      </c>
      <c r="F198" s="322">
        <v>0</v>
      </c>
      <c r="G198" s="331">
        <v>0</v>
      </c>
      <c r="H198" s="331">
        <v>0</v>
      </c>
      <c r="I198" s="331">
        <f t="shared" si="21"/>
        <v>0</v>
      </c>
      <c r="J198" s="322">
        <v>0</v>
      </c>
      <c r="K198" s="323"/>
      <c r="N198" s="316"/>
      <c r="O198" s="338" t="s">
        <v>261</v>
      </c>
      <c r="P198" s="322">
        <f>-SUM(P168:P172)+25*(SUM(P169:P172)/40)</f>
        <v>0</v>
      </c>
      <c r="Q198" s="322">
        <f>-SUM(Q187:Q191)+6*(SUM(Q187:Q191)/15)</f>
        <v>0</v>
      </c>
      <c r="R198" s="322">
        <v>0</v>
      </c>
      <c r="S198" s="322">
        <v>0</v>
      </c>
      <c r="T198" s="331">
        <v>0</v>
      </c>
      <c r="U198" s="331">
        <v>0</v>
      </c>
      <c r="V198" s="331">
        <f t="shared" si="24"/>
        <v>0</v>
      </c>
      <c r="W198" s="322">
        <v>0</v>
      </c>
      <c r="X198" s="322"/>
      <c r="Y198" s="323"/>
      <c r="AB198" s="316"/>
      <c r="AC198" s="338" t="s">
        <v>261</v>
      </c>
      <c r="AD198" s="322">
        <f>-SUM(AD168:AD172)+25*(SUM(AD169:AD172)/40)</f>
        <v>0</v>
      </c>
      <c r="AE198" s="322">
        <f>-SUM(AE187:AE191)+6*(SUM(AE187:AE191)/15)</f>
        <v>0</v>
      </c>
      <c r="AF198" s="322">
        <v>0</v>
      </c>
      <c r="AG198" s="322">
        <v>0</v>
      </c>
      <c r="AH198" s="331">
        <v>0</v>
      </c>
      <c r="AI198" s="331">
        <v>0</v>
      </c>
      <c r="AJ198" s="331">
        <f t="shared" si="27"/>
        <v>0</v>
      </c>
      <c r="AK198" s="322">
        <v>0</v>
      </c>
      <c r="AL198" s="323"/>
      <c r="AO198" s="316"/>
    </row>
    <row r="199" spans="2:43" s="314" customFormat="1" ht="15.75" hidden="1" x14ac:dyDescent="0.25">
      <c r="B199" s="320" t="s">
        <v>262</v>
      </c>
      <c r="C199" s="339">
        <f>C168+NPV(0.04,C169:C198)</f>
        <v>0</v>
      </c>
      <c r="D199" s="339">
        <f>D168+NPV(0.04,D169:D198)</f>
        <v>0</v>
      </c>
      <c r="E199" s="339"/>
      <c r="F199" s="339"/>
      <c r="G199" s="339"/>
      <c r="H199" s="339"/>
      <c r="I199" s="339" t="e">
        <f>I168+NPV(0.04,I169:I198)</f>
        <v>#DIV/0!</v>
      </c>
      <c r="J199" s="339">
        <f>J168+NPV(0.04,J169:J198)</f>
        <v>0</v>
      </c>
      <c r="K199" s="340" t="e">
        <f>+(C199+D199+I199)/J199</f>
        <v>#DIV/0!</v>
      </c>
      <c r="N199" s="316"/>
      <c r="O199" s="320" t="s">
        <v>262</v>
      </c>
      <c r="P199" s="339">
        <f>P168+NPV(0.04,P169:P198)</f>
        <v>0</v>
      </c>
      <c r="Q199" s="339">
        <f>Q168+NPV(0.04,Q169:Q198)</f>
        <v>0</v>
      </c>
      <c r="R199" s="339"/>
      <c r="S199" s="339"/>
      <c r="T199" s="339"/>
      <c r="U199" s="339"/>
      <c r="V199" s="339" t="e">
        <f>V168+NPV(0.04,V169:V198)</f>
        <v>#DIV/0!</v>
      </c>
      <c r="W199" s="339">
        <f>W168+NPV(0.04,W169:W198)</f>
        <v>0</v>
      </c>
      <c r="X199" s="339"/>
      <c r="Y199" s="340" t="e">
        <f>+(P199+Q199+V199)/W199</f>
        <v>#DIV/0!</v>
      </c>
      <c r="AB199" s="316"/>
      <c r="AC199" s="319"/>
      <c r="AD199" s="325"/>
      <c r="AE199" s="325"/>
      <c r="AF199" s="325"/>
      <c r="AG199" s="325"/>
      <c r="AH199" s="325"/>
      <c r="AI199" s="325"/>
      <c r="AJ199" s="325"/>
      <c r="AK199" s="325"/>
      <c r="AL199" s="341"/>
      <c r="AM199" s="319"/>
      <c r="AN199" s="319"/>
      <c r="AO199" s="319"/>
    </row>
    <row r="200" spans="2:43" hidden="1" x14ac:dyDescent="0.2"/>
    <row r="201" spans="2:43" s="306" customFormat="1" ht="9.6" hidden="1" customHeight="1" x14ac:dyDescent="0.2"/>
    <row r="202" spans="2:43" hidden="1" x14ac:dyDescent="0.2"/>
    <row r="203" spans="2:43" x14ac:dyDescent="0.2">
      <c r="D203" s="305"/>
    </row>
    <row r="204" spans="2:43" ht="15" x14ac:dyDescent="0.25">
      <c r="B204" s="276" t="s">
        <v>263</v>
      </c>
    </row>
    <row r="205" spans="2:43" ht="15" x14ac:dyDescent="0.25">
      <c r="B205" s="276"/>
    </row>
    <row r="206" spans="2:43" ht="15" x14ac:dyDescent="0.25">
      <c r="B206" s="276" t="str">
        <f>B56</f>
        <v>Analiza 1</v>
      </c>
    </row>
    <row r="208" spans="2:43" ht="15" x14ac:dyDescent="0.25">
      <c r="B208" s="312" t="s">
        <v>213</v>
      </c>
      <c r="N208" s="281"/>
      <c r="O208" s="313"/>
      <c r="P208" s="312" t="s">
        <v>214</v>
      </c>
      <c r="AC208" s="281"/>
      <c r="AD208" s="342"/>
      <c r="AE208" s="312" t="s">
        <v>206</v>
      </c>
      <c r="AQ208" s="281"/>
    </row>
    <row r="209" spans="2:43" x14ac:dyDescent="0.2">
      <c r="N209" s="281"/>
      <c r="O209" s="281"/>
      <c r="AC209" s="281"/>
      <c r="AD209" s="343"/>
      <c r="AQ209" s="281"/>
    </row>
    <row r="210" spans="2:43" s="314" customFormat="1" ht="15.75" x14ac:dyDescent="0.25">
      <c r="B210" s="315" t="s">
        <v>264</v>
      </c>
      <c r="C210" s="1033" t="s">
        <v>265</v>
      </c>
      <c r="D210" s="1034"/>
      <c r="E210" s="1033" t="s">
        <v>244</v>
      </c>
      <c r="F210" s="1035"/>
      <c r="G210" s="1035"/>
      <c r="H210" s="1035"/>
      <c r="I210" s="1035"/>
      <c r="J210" s="1034"/>
      <c r="K210" s="344"/>
      <c r="L210" s="315" t="s">
        <v>266</v>
      </c>
      <c r="N210" s="319"/>
      <c r="O210" s="318"/>
      <c r="P210" s="315" t="s">
        <v>264</v>
      </c>
      <c r="Q210" s="1033" t="s">
        <v>265</v>
      </c>
      <c r="R210" s="1034"/>
      <c r="S210" s="1033" t="s">
        <v>244</v>
      </c>
      <c r="T210" s="1035"/>
      <c r="U210" s="1035"/>
      <c r="V210" s="1035"/>
      <c r="W210" s="1035"/>
      <c r="X210" s="1035"/>
      <c r="Y210" s="1034"/>
      <c r="Z210" s="344"/>
      <c r="AA210" s="315" t="s">
        <v>266</v>
      </c>
      <c r="AC210" s="319"/>
      <c r="AD210" s="345"/>
      <c r="AE210" s="315" t="s">
        <v>242</v>
      </c>
      <c r="AF210" s="1033" t="s">
        <v>243</v>
      </c>
      <c r="AG210" s="1034"/>
      <c r="AH210" s="1033" t="s">
        <v>244</v>
      </c>
      <c r="AI210" s="1035"/>
      <c r="AJ210" s="1035"/>
      <c r="AK210" s="1035"/>
      <c r="AL210" s="1035"/>
      <c r="AM210" s="1034"/>
      <c r="AN210" s="344"/>
      <c r="AO210" s="315" t="s">
        <v>245</v>
      </c>
      <c r="AQ210" s="319"/>
    </row>
    <row r="211" spans="2:43" s="314" customFormat="1" ht="15.75" x14ac:dyDescent="0.25">
      <c r="B211" s="320"/>
      <c r="C211" s="315" t="s">
        <v>267</v>
      </c>
      <c r="D211" s="315" t="s">
        <v>268</v>
      </c>
      <c r="E211" s="315" t="s">
        <v>269</v>
      </c>
      <c r="F211" s="315" t="s">
        <v>270</v>
      </c>
      <c r="G211" s="315" t="s">
        <v>270</v>
      </c>
      <c r="H211" s="315" t="s">
        <v>270</v>
      </c>
      <c r="I211" s="315" t="s">
        <v>269</v>
      </c>
      <c r="J211" s="315" t="s">
        <v>271</v>
      </c>
      <c r="K211" s="315" t="s">
        <v>272</v>
      </c>
      <c r="L211" s="315" t="s">
        <v>273</v>
      </c>
      <c r="O211" s="319"/>
      <c r="P211" s="320"/>
      <c r="Q211" s="315" t="s">
        <v>267</v>
      </c>
      <c r="R211" s="315" t="s">
        <v>268</v>
      </c>
      <c r="S211" s="315" t="s">
        <v>269</v>
      </c>
      <c r="T211" s="315" t="s">
        <v>270</v>
      </c>
      <c r="U211" s="315" t="s">
        <v>270</v>
      </c>
      <c r="V211" s="315" t="s">
        <v>270</v>
      </c>
      <c r="W211" s="315" t="s">
        <v>269</v>
      </c>
      <c r="X211" s="315" t="s">
        <v>274</v>
      </c>
      <c r="Y211" s="315" t="s">
        <v>271</v>
      </c>
      <c r="Z211" s="315" t="s">
        <v>272</v>
      </c>
      <c r="AA211" s="315" t="s">
        <v>273</v>
      </c>
      <c r="AD211" s="346"/>
      <c r="AE211" s="320"/>
      <c r="AF211" s="315" t="s">
        <v>180</v>
      </c>
      <c r="AG211" s="315" t="s">
        <v>246</v>
      </c>
      <c r="AH211" s="315" t="s">
        <v>247</v>
      </c>
      <c r="AI211" s="315" t="s">
        <v>248</v>
      </c>
      <c r="AJ211" s="315" t="s">
        <v>249</v>
      </c>
      <c r="AK211" s="315" t="s">
        <v>250</v>
      </c>
      <c r="AL211" s="315" t="s">
        <v>275</v>
      </c>
      <c r="AM211" s="315" t="s">
        <v>251</v>
      </c>
      <c r="AN211" s="315" t="s">
        <v>252</v>
      </c>
      <c r="AO211" s="315" t="s">
        <v>253</v>
      </c>
    </row>
    <row r="212" spans="2:43" s="314" customFormat="1" ht="15.75" x14ac:dyDescent="0.25">
      <c r="B212" s="320"/>
      <c r="C212" s="320"/>
      <c r="D212" s="315" t="s">
        <v>276</v>
      </c>
      <c r="E212" s="315" t="s">
        <v>277</v>
      </c>
      <c r="F212" s="315" t="s">
        <v>278</v>
      </c>
      <c r="G212" s="315" t="s">
        <v>279</v>
      </c>
      <c r="H212" s="315" t="s">
        <v>280</v>
      </c>
      <c r="I212" s="315" t="s">
        <v>281</v>
      </c>
      <c r="J212" s="315" t="s">
        <v>282</v>
      </c>
      <c r="K212" s="315" t="s">
        <v>283</v>
      </c>
      <c r="L212" s="315" t="s">
        <v>284</v>
      </c>
      <c r="O212" s="319"/>
      <c r="P212" s="320"/>
      <c r="Q212" s="320"/>
      <c r="R212" s="315" t="s">
        <v>276</v>
      </c>
      <c r="S212" s="315" t="s">
        <v>277</v>
      </c>
      <c r="T212" s="315" t="s">
        <v>278</v>
      </c>
      <c r="U212" s="315" t="s">
        <v>279</v>
      </c>
      <c r="V212" s="315" t="s">
        <v>280</v>
      </c>
      <c r="W212" s="315" t="s">
        <v>281</v>
      </c>
      <c r="X212" s="315" t="s">
        <v>285</v>
      </c>
      <c r="Y212" s="315" t="s">
        <v>282</v>
      </c>
      <c r="Z212" s="315" t="s">
        <v>283</v>
      </c>
      <c r="AA212" s="315" t="s">
        <v>284</v>
      </c>
      <c r="AD212" s="346"/>
      <c r="AE212" s="320"/>
      <c r="AF212" s="320"/>
      <c r="AG212" s="315" t="s">
        <v>254</v>
      </c>
      <c r="AH212" s="315" t="s">
        <v>255</v>
      </c>
      <c r="AI212" s="315" t="s">
        <v>255</v>
      </c>
      <c r="AJ212" s="315" t="s">
        <v>255</v>
      </c>
      <c r="AK212" s="315" t="s">
        <v>255</v>
      </c>
      <c r="AL212" s="315" t="s">
        <v>286</v>
      </c>
      <c r="AM212" s="315" t="s">
        <v>256</v>
      </c>
      <c r="AN212" s="315" t="s">
        <v>287</v>
      </c>
      <c r="AO212" s="315" t="s">
        <v>258</v>
      </c>
    </row>
    <row r="213" spans="2:43" s="314" customFormat="1" ht="15.75" x14ac:dyDescent="0.25">
      <c r="B213" s="320"/>
      <c r="C213" s="320"/>
      <c r="D213" s="320"/>
      <c r="E213" s="320"/>
      <c r="F213" s="320"/>
      <c r="G213" s="320"/>
      <c r="H213" s="320"/>
      <c r="I213" s="315" t="s">
        <v>288</v>
      </c>
      <c r="J213" s="315" t="s">
        <v>289</v>
      </c>
      <c r="K213" s="315"/>
      <c r="L213" s="315"/>
      <c r="O213" s="319"/>
      <c r="P213" s="320"/>
      <c r="Q213" s="320"/>
      <c r="R213" s="320"/>
      <c r="S213" s="320"/>
      <c r="T213" s="320"/>
      <c r="U213" s="320"/>
      <c r="V213" s="320"/>
      <c r="W213" s="315" t="s">
        <v>288</v>
      </c>
      <c r="X213" s="315" t="s">
        <v>290</v>
      </c>
      <c r="Y213" s="315" t="s">
        <v>289</v>
      </c>
      <c r="Z213" s="315"/>
      <c r="AA213" s="315"/>
      <c r="AD213" s="346"/>
      <c r="AE213" s="320"/>
      <c r="AF213" s="320"/>
      <c r="AG213" s="320"/>
      <c r="AH213" s="320"/>
      <c r="AI213" s="320"/>
      <c r="AJ213" s="320"/>
      <c r="AK213" s="320"/>
      <c r="AL213" s="315" t="s">
        <v>255</v>
      </c>
      <c r="AM213" s="315" t="s">
        <v>258</v>
      </c>
      <c r="AN213" s="315" t="s">
        <v>195</v>
      </c>
      <c r="AO213" s="315" t="s">
        <v>259</v>
      </c>
    </row>
    <row r="214" spans="2:43" s="314" customFormat="1" ht="15.75" x14ac:dyDescent="0.25">
      <c r="B214" s="320"/>
      <c r="C214" s="315" t="s">
        <v>179</v>
      </c>
      <c r="D214" s="315" t="s">
        <v>179</v>
      </c>
      <c r="E214" s="315" t="s">
        <v>179</v>
      </c>
      <c r="F214" s="315" t="s">
        <v>179</v>
      </c>
      <c r="G214" s="315" t="s">
        <v>179</v>
      </c>
      <c r="H214" s="315" t="s">
        <v>179</v>
      </c>
      <c r="I214" s="315" t="s">
        <v>179</v>
      </c>
      <c r="J214" s="315" t="s">
        <v>179</v>
      </c>
      <c r="K214" s="315" t="s">
        <v>183</v>
      </c>
      <c r="L214" s="315" t="s">
        <v>260</v>
      </c>
      <c r="O214" s="319"/>
      <c r="P214" s="320"/>
      <c r="Q214" s="315" t="s">
        <v>179</v>
      </c>
      <c r="R214" s="315" t="s">
        <v>179</v>
      </c>
      <c r="S214" s="315" t="s">
        <v>179</v>
      </c>
      <c r="T214" s="315" t="s">
        <v>179</v>
      </c>
      <c r="U214" s="315" t="s">
        <v>179</v>
      </c>
      <c r="V214" s="315" t="s">
        <v>179</v>
      </c>
      <c r="W214" s="315" t="s">
        <v>179</v>
      </c>
      <c r="X214" s="315" t="s">
        <v>179</v>
      </c>
      <c r="Y214" s="315" t="s">
        <v>179</v>
      </c>
      <c r="Z214" s="315" t="s">
        <v>183</v>
      </c>
      <c r="AA214" s="315" t="s">
        <v>260</v>
      </c>
      <c r="AD214" s="346"/>
      <c r="AE214" s="320"/>
      <c r="AF214" s="315" t="s">
        <v>179</v>
      </c>
      <c r="AG214" s="315" t="s">
        <v>179</v>
      </c>
      <c r="AH214" s="315" t="s">
        <v>179</v>
      </c>
      <c r="AI214" s="315" t="s">
        <v>179</v>
      </c>
      <c r="AJ214" s="315" t="s">
        <v>179</v>
      </c>
      <c r="AK214" s="315" t="s">
        <v>179</v>
      </c>
      <c r="AL214" s="315" t="s">
        <v>179</v>
      </c>
      <c r="AM214" s="315" t="s">
        <v>179</v>
      </c>
      <c r="AN214" s="315" t="s">
        <v>183</v>
      </c>
      <c r="AO214" s="315" t="s">
        <v>260</v>
      </c>
    </row>
    <row r="215" spans="2:43" s="314" customFormat="1" ht="15.75" x14ac:dyDescent="0.25">
      <c r="B215" s="321">
        <v>2018</v>
      </c>
      <c r="C215" s="322">
        <v>0</v>
      </c>
      <c r="D215" s="322">
        <v>0</v>
      </c>
      <c r="E215" s="322"/>
      <c r="F215" s="322"/>
      <c r="G215" s="322"/>
      <c r="H215" s="322"/>
      <c r="I215" s="322"/>
      <c r="J215" s="322">
        <f>SUM(E215:G215)</f>
        <v>0</v>
      </c>
      <c r="K215" s="322">
        <v>0</v>
      </c>
      <c r="L215" s="323"/>
      <c r="M215" s="324"/>
      <c r="N215" s="325"/>
      <c r="O215" s="319"/>
      <c r="P215" s="321">
        <v>2018</v>
      </c>
      <c r="Q215" s="322">
        <v>0</v>
      </c>
      <c r="R215" s="322">
        <v>0</v>
      </c>
      <c r="S215" s="322"/>
      <c r="T215" s="322"/>
      <c r="U215" s="322"/>
      <c r="V215" s="322"/>
      <c r="W215" s="322"/>
      <c r="X215" s="322"/>
      <c r="Y215" s="322">
        <f>SUM(S215:U215)</f>
        <v>0</v>
      </c>
      <c r="Z215" s="322">
        <v>0</v>
      </c>
      <c r="AA215" s="323"/>
      <c r="AB215" s="324"/>
      <c r="AC215" s="325"/>
      <c r="AD215" s="346"/>
      <c r="AE215" s="321">
        <v>2009</v>
      </c>
      <c r="AF215" s="322">
        <v>0</v>
      </c>
      <c r="AG215" s="322">
        <v>0</v>
      </c>
      <c r="AH215" s="322"/>
      <c r="AI215" s="322"/>
      <c r="AJ215" s="322"/>
      <c r="AK215" s="322"/>
      <c r="AL215" s="322"/>
      <c r="AM215" s="322">
        <f>SUM(AH215:AJ215)</f>
        <v>0</v>
      </c>
      <c r="AN215" s="322">
        <v>0</v>
      </c>
      <c r="AO215" s="323"/>
      <c r="AP215" s="324"/>
      <c r="AQ215" s="325"/>
    </row>
    <row r="216" spans="2:43" s="314" customFormat="1" ht="15.75" x14ac:dyDescent="0.25">
      <c r="B216" s="321">
        <v>2019</v>
      </c>
      <c r="C216" s="328">
        <f>D$59*M216</f>
        <v>43170</v>
      </c>
      <c r="D216" s="328">
        <f>D$60*M216</f>
        <v>63539.630000000005</v>
      </c>
      <c r="E216" s="322"/>
      <c r="F216" s="322"/>
      <c r="G216" s="322"/>
      <c r="H216" s="322"/>
      <c r="I216" s="322"/>
      <c r="J216" s="322">
        <f>SUM(E216:G216)</f>
        <v>0</v>
      </c>
      <c r="K216" s="322">
        <f>K215</f>
        <v>0</v>
      </c>
      <c r="L216" s="323"/>
      <c r="M216" s="329">
        <v>0.1</v>
      </c>
      <c r="N216" s="325"/>
      <c r="O216" s="319"/>
      <c r="P216" s="321">
        <v>2019</v>
      </c>
      <c r="Q216" s="328">
        <f>E$59*AB216</f>
        <v>0</v>
      </c>
      <c r="R216" s="328">
        <f>E$60*AB216</f>
        <v>0</v>
      </c>
      <c r="S216" s="322"/>
      <c r="T216" s="322"/>
      <c r="U216" s="322"/>
      <c r="V216" s="322"/>
      <c r="W216" s="322"/>
      <c r="X216" s="322"/>
      <c r="Y216" s="322">
        <f>SUM(S216:U216)</f>
        <v>0</v>
      </c>
      <c r="Z216" s="322">
        <f>Z215</f>
        <v>0</v>
      </c>
      <c r="AA216" s="323"/>
      <c r="AB216" s="329">
        <v>0.1</v>
      </c>
      <c r="AC216" s="325"/>
      <c r="AD216" s="346"/>
      <c r="AE216" s="321">
        <f t="shared" ref="AE216:AE242" si="40">+AE215+1</f>
        <v>2010</v>
      </c>
      <c r="AF216" s="328">
        <f>F$59*AP216</f>
        <v>0</v>
      </c>
      <c r="AG216" s="328">
        <f>F$60*AP216</f>
        <v>0</v>
      </c>
      <c r="AH216" s="322"/>
      <c r="AI216" s="322"/>
      <c r="AJ216" s="322"/>
      <c r="AK216" s="322"/>
      <c r="AL216" s="322"/>
      <c r="AM216" s="322">
        <f>SUM(AH216:AJ216)</f>
        <v>0</v>
      </c>
      <c r="AN216" s="322">
        <f>AN215</f>
        <v>0</v>
      </c>
      <c r="AO216" s="323"/>
      <c r="AP216" s="329">
        <v>0.1</v>
      </c>
      <c r="AQ216" s="325"/>
    </row>
    <row r="217" spans="2:43" s="314" customFormat="1" ht="15.75" x14ac:dyDescent="0.25">
      <c r="B217" s="321">
        <v>2020</v>
      </c>
      <c r="C217" s="328">
        <f>D$59*M217</f>
        <v>129510</v>
      </c>
      <c r="D217" s="328">
        <f>D$60*M217</f>
        <v>190618.89</v>
      </c>
      <c r="E217" s="331"/>
      <c r="F217" s="331"/>
      <c r="G217" s="331"/>
      <c r="H217" s="331"/>
      <c r="I217" s="331"/>
      <c r="J217" s="331">
        <f>SUM(E217:G217)</f>
        <v>0</v>
      </c>
      <c r="K217" s="322">
        <f>K216</f>
        <v>0</v>
      </c>
      <c r="L217" s="323"/>
      <c r="M217" s="329">
        <v>0.3</v>
      </c>
      <c r="N217" s="332"/>
      <c r="O217" s="319"/>
      <c r="P217" s="321">
        <v>2020</v>
      </c>
      <c r="Q217" s="328">
        <f>E$59*AB217</f>
        <v>0</v>
      </c>
      <c r="R217" s="328">
        <f>E$60*AB217</f>
        <v>0</v>
      </c>
      <c r="S217" s="331"/>
      <c r="T217" s="331"/>
      <c r="U217" s="331"/>
      <c r="V217" s="331"/>
      <c r="W217" s="331"/>
      <c r="X217" s="331"/>
      <c r="Y217" s="331">
        <f>SUM(S217:U217)</f>
        <v>0</v>
      </c>
      <c r="Z217" s="322">
        <f>Z216</f>
        <v>0</v>
      </c>
      <c r="AA217" s="323"/>
      <c r="AB217" s="329">
        <v>0.3</v>
      </c>
      <c r="AC217" s="332"/>
      <c r="AD217" s="346"/>
      <c r="AE217" s="321">
        <f t="shared" si="40"/>
        <v>2011</v>
      </c>
      <c r="AF217" s="328">
        <f>F$59*AP217</f>
        <v>0</v>
      </c>
      <c r="AG217" s="328">
        <f>F$60*AP217</f>
        <v>0</v>
      </c>
      <c r="AH217" s="331"/>
      <c r="AI217" s="331"/>
      <c r="AJ217" s="331"/>
      <c r="AK217" s="331"/>
      <c r="AL217" s="331"/>
      <c r="AM217" s="331">
        <f>SUM(AH217:AJ217)</f>
        <v>0</v>
      </c>
      <c r="AN217" s="322">
        <f>AN216</f>
        <v>0</v>
      </c>
      <c r="AO217" s="323"/>
      <c r="AP217" s="329">
        <v>0.3</v>
      </c>
      <c r="AQ217" s="332"/>
    </row>
    <row r="218" spans="2:43" s="314" customFormat="1" ht="15.75" x14ac:dyDescent="0.25">
      <c r="B218" s="321">
        <v>2021</v>
      </c>
      <c r="C218" s="328">
        <f>D$59*M218</f>
        <v>129510</v>
      </c>
      <c r="D218" s="328">
        <f>D$60*M218</f>
        <v>190618.89</v>
      </c>
      <c r="E218" s="331"/>
      <c r="F218" s="331"/>
      <c r="G218" s="331"/>
      <c r="H218" s="331"/>
      <c r="I218" s="331"/>
      <c r="J218" s="331">
        <f>SUM(E218:G218)</f>
        <v>0</v>
      </c>
      <c r="K218" s="322">
        <f>K217</f>
        <v>0</v>
      </c>
      <c r="L218" s="323"/>
      <c r="M218" s="329">
        <v>0.3</v>
      </c>
      <c r="O218" s="319"/>
      <c r="P218" s="321">
        <v>2021</v>
      </c>
      <c r="Q218" s="328">
        <f>E$59*AB218</f>
        <v>0</v>
      </c>
      <c r="R218" s="328">
        <f>E$60*AB218</f>
        <v>0</v>
      </c>
      <c r="S218" s="331"/>
      <c r="T218" s="331"/>
      <c r="U218" s="331"/>
      <c r="V218" s="331"/>
      <c r="W218" s="331"/>
      <c r="X218" s="331"/>
      <c r="Y218" s="331">
        <f>SUM(S218:U218)</f>
        <v>0</v>
      </c>
      <c r="Z218" s="322">
        <f>Z217</f>
        <v>0</v>
      </c>
      <c r="AA218" s="323"/>
      <c r="AB218" s="329">
        <v>0.3</v>
      </c>
      <c r="AD218" s="346"/>
      <c r="AE218" s="321">
        <f t="shared" si="40"/>
        <v>2012</v>
      </c>
      <c r="AF218" s="328">
        <f>F$59*AP218</f>
        <v>0</v>
      </c>
      <c r="AG218" s="328">
        <f>F$60*AP218</f>
        <v>0</v>
      </c>
      <c r="AH218" s="331"/>
      <c r="AI218" s="331"/>
      <c r="AJ218" s="331"/>
      <c r="AK218" s="331"/>
      <c r="AL218" s="331"/>
      <c r="AM218" s="331">
        <f>SUM(AH218:AJ218)</f>
        <v>0</v>
      </c>
      <c r="AN218" s="322">
        <f>AN217</f>
        <v>0</v>
      </c>
      <c r="AO218" s="323"/>
      <c r="AP218" s="329">
        <v>0.3</v>
      </c>
    </row>
    <row r="219" spans="2:43" s="314" customFormat="1" ht="15.75" x14ac:dyDescent="0.25">
      <c r="B219" s="321">
        <v>2022</v>
      </c>
      <c r="C219" s="328">
        <f>D$59*M219</f>
        <v>129510</v>
      </c>
      <c r="D219" s="328">
        <f>D$60*M219</f>
        <v>190618.89</v>
      </c>
      <c r="E219" s="331"/>
      <c r="F219" s="331"/>
      <c r="G219" s="331"/>
      <c r="H219" s="331"/>
      <c r="I219" s="331"/>
      <c r="J219" s="331">
        <f>SUM(E219:G219)</f>
        <v>0</v>
      </c>
      <c r="K219" s="322">
        <f>K218</f>
        <v>0</v>
      </c>
      <c r="L219" s="323"/>
      <c r="M219" s="329">
        <v>0.3</v>
      </c>
      <c r="O219" s="319"/>
      <c r="P219" s="321">
        <v>2022</v>
      </c>
      <c r="Q219" s="328">
        <f>E$59*AB219</f>
        <v>0</v>
      </c>
      <c r="R219" s="328">
        <f>E$60*AB219</f>
        <v>0</v>
      </c>
      <c r="S219" s="331"/>
      <c r="T219" s="331"/>
      <c r="U219" s="331"/>
      <c r="V219" s="331"/>
      <c r="W219" s="331"/>
      <c r="X219" s="331"/>
      <c r="Y219" s="331">
        <f>SUM(S219:U219)</f>
        <v>0</v>
      </c>
      <c r="Z219" s="322">
        <f>Z218</f>
        <v>0</v>
      </c>
      <c r="AA219" s="323"/>
      <c r="AB219" s="329">
        <v>0.3</v>
      </c>
      <c r="AD219" s="346"/>
      <c r="AE219" s="321">
        <f t="shared" si="40"/>
        <v>2013</v>
      </c>
      <c r="AF219" s="328">
        <f>F$59*AP219</f>
        <v>0</v>
      </c>
      <c r="AG219" s="328">
        <f>F$60*AP219</f>
        <v>0</v>
      </c>
      <c r="AH219" s="331"/>
      <c r="AI219" s="331"/>
      <c r="AJ219" s="331"/>
      <c r="AK219" s="331"/>
      <c r="AL219" s="331"/>
      <c r="AM219" s="331">
        <f>SUM(AH219:AJ219)</f>
        <v>0</v>
      </c>
      <c r="AN219" s="322">
        <f>AN218</f>
        <v>0</v>
      </c>
      <c r="AO219" s="323"/>
      <c r="AP219" s="329">
        <v>0.3</v>
      </c>
    </row>
    <row r="220" spans="2:43" s="314" customFormat="1" ht="15.75" x14ac:dyDescent="0.25">
      <c r="B220" s="321">
        <v>2023</v>
      </c>
      <c r="C220" s="322">
        <v>0</v>
      </c>
      <c r="D220" s="322">
        <v>0</v>
      </c>
      <c r="E220" s="328">
        <f>D65</f>
        <v>3893.0679388429412</v>
      </c>
      <c r="F220" s="328">
        <f>D70</f>
        <v>25406.470913953242</v>
      </c>
      <c r="G220" s="328">
        <f>D66</f>
        <v>38880</v>
      </c>
      <c r="H220" s="328">
        <f>D73</f>
        <v>11689.4445</v>
      </c>
      <c r="I220" s="328">
        <f>D76</f>
        <v>252.92551173749996</v>
      </c>
      <c r="J220" s="328">
        <f>SUM(E220:I220)</f>
        <v>80121.908864533689</v>
      </c>
      <c r="K220" s="328">
        <f>D62</f>
        <v>157364.64000000004</v>
      </c>
      <c r="L220" s="323"/>
      <c r="M220" s="333">
        <f>SUM(M216:M219)</f>
        <v>1</v>
      </c>
      <c r="N220" s="332">
        <f>J220-D64</f>
        <v>0</v>
      </c>
      <c r="O220" s="319"/>
      <c r="P220" s="321">
        <v>2023</v>
      </c>
      <c r="Q220" s="322">
        <v>0</v>
      </c>
      <c r="R220" s="322">
        <v>0</v>
      </c>
      <c r="S220" s="328">
        <f>E65</f>
        <v>3893.0679388429412</v>
      </c>
      <c r="T220" s="328">
        <f>E70</f>
        <v>4164.1060784313731</v>
      </c>
      <c r="U220" s="328">
        <f>E66</f>
        <v>0</v>
      </c>
      <c r="V220" s="328">
        <f>E73</f>
        <v>0</v>
      </c>
      <c r="W220" s="328">
        <f>E76</f>
        <v>0</v>
      </c>
      <c r="X220" s="328">
        <f>E79</f>
        <v>0</v>
      </c>
      <c r="Y220" s="328">
        <f>SUM(S220:X220)</f>
        <v>8057.1740172743139</v>
      </c>
      <c r="Z220" s="328">
        <f>E62</f>
        <v>157364.64000000004</v>
      </c>
      <c r="AA220" s="323"/>
      <c r="AB220" s="333">
        <f>SUM(AB216:AB219)</f>
        <v>1</v>
      </c>
      <c r="AC220" s="332">
        <f>Y220-E64</f>
        <v>0</v>
      </c>
      <c r="AD220" s="346"/>
      <c r="AE220" s="321">
        <f t="shared" si="40"/>
        <v>2014</v>
      </c>
      <c r="AF220" s="322">
        <v>0</v>
      </c>
      <c r="AG220" s="322">
        <v>0</v>
      </c>
      <c r="AH220" s="328">
        <f>F65</f>
        <v>0</v>
      </c>
      <c r="AI220" s="328">
        <f>F70</f>
        <v>0</v>
      </c>
      <c r="AJ220" s="328">
        <f>F66</f>
        <v>0</v>
      </c>
      <c r="AK220" s="328">
        <f>F73</f>
        <v>0</v>
      </c>
      <c r="AL220" s="328">
        <f>F76</f>
        <v>0</v>
      </c>
      <c r="AM220" s="331">
        <f>SUM(AH220:AL220)</f>
        <v>0</v>
      </c>
      <c r="AN220" s="328">
        <f>F62</f>
        <v>0</v>
      </c>
      <c r="AO220" s="323"/>
      <c r="AP220" s="333">
        <f>SUM(AP216:AP219)</f>
        <v>1</v>
      </c>
      <c r="AQ220" s="332">
        <f>AM220-F80</f>
        <v>0</v>
      </c>
    </row>
    <row r="221" spans="2:43" s="314" customFormat="1" ht="15.75" x14ac:dyDescent="0.25">
      <c r="B221" s="321">
        <v>2024</v>
      </c>
      <c r="C221" s="322">
        <v>0</v>
      </c>
      <c r="D221" s="322">
        <v>0</v>
      </c>
      <c r="E221" s="331">
        <f t="shared" ref="E221:F236" si="41">E220*$K221/$K220</f>
        <v>3893.0679388429407</v>
      </c>
      <c r="F221" s="331">
        <f t="shared" si="41"/>
        <v>25406.470913953242</v>
      </c>
      <c r="G221" s="331">
        <f t="shared" ref="G221:H236" si="42">G220</f>
        <v>38880</v>
      </c>
      <c r="H221" s="331">
        <f>H220</f>
        <v>11689.4445</v>
      </c>
      <c r="I221" s="347">
        <f>I220*$K221/$K220</f>
        <v>252.92551173749993</v>
      </c>
      <c r="J221" s="331">
        <f t="shared" ref="J221:J245" si="43">SUM(E221:I221)</f>
        <v>80121.908864533689</v>
      </c>
      <c r="K221" s="322">
        <f>K220</f>
        <v>157364.64000000004</v>
      </c>
      <c r="L221" s="323"/>
      <c r="N221" s="332"/>
      <c r="O221" s="319"/>
      <c r="P221" s="321">
        <v>2024</v>
      </c>
      <c r="Q221" s="322">
        <v>0</v>
      </c>
      <c r="R221" s="322">
        <v>0</v>
      </c>
      <c r="S221" s="331">
        <f t="shared" ref="S221:T236" si="44">S220*$K221/$K220</f>
        <v>3893.0679388429407</v>
      </c>
      <c r="T221" s="331">
        <f t="shared" si="44"/>
        <v>4164.1060784313731</v>
      </c>
      <c r="U221" s="331">
        <f t="shared" ref="U221:V236" si="45">U220</f>
        <v>0</v>
      </c>
      <c r="V221" s="331">
        <f>V220</f>
        <v>0</v>
      </c>
      <c r="W221" s="331">
        <f>W220*$K221/$K220</f>
        <v>0</v>
      </c>
      <c r="X221" s="331">
        <f>X220</f>
        <v>0</v>
      </c>
      <c r="Y221" s="331">
        <f>SUM(S221:X221)</f>
        <v>8057.1740172743139</v>
      </c>
      <c r="Z221" s="322">
        <f>Z220</f>
        <v>157364.64000000004</v>
      </c>
      <c r="AA221" s="323"/>
      <c r="AC221" s="332"/>
      <c r="AD221" s="346"/>
      <c r="AE221" s="321">
        <f t="shared" si="40"/>
        <v>2015</v>
      </c>
      <c r="AF221" s="322">
        <v>0</v>
      </c>
      <c r="AG221" s="322">
        <v>0</v>
      </c>
      <c r="AH221" s="331">
        <f t="shared" ref="AH221:AI236" si="46">AH220*$K221/$K220</f>
        <v>0</v>
      </c>
      <c r="AI221" s="331">
        <f t="shared" si="46"/>
        <v>0</v>
      </c>
      <c r="AJ221" s="331">
        <f t="shared" ref="AJ221:AK236" si="47">AJ220</f>
        <v>0</v>
      </c>
      <c r="AK221" s="331">
        <f>AK220</f>
        <v>0</v>
      </c>
      <c r="AL221" s="331">
        <f>AL220*$K221/$K220</f>
        <v>0</v>
      </c>
      <c r="AM221" s="331">
        <f t="shared" ref="AM221:AM245" si="48">SUM(AH221:AL221)</f>
        <v>0</v>
      </c>
      <c r="AN221" s="322">
        <f>AN220</f>
        <v>0</v>
      </c>
      <c r="AO221" s="323"/>
      <c r="AQ221" s="332"/>
    </row>
    <row r="222" spans="2:43" s="314" customFormat="1" ht="15.75" x14ac:dyDescent="0.25">
      <c r="B222" s="321">
        <v>2025</v>
      </c>
      <c r="C222" s="322">
        <v>0</v>
      </c>
      <c r="D222" s="322">
        <v>0</v>
      </c>
      <c r="E222" s="331">
        <f t="shared" si="41"/>
        <v>3893.0679388429407</v>
      </c>
      <c r="F222" s="331">
        <f t="shared" si="41"/>
        <v>25406.470913953242</v>
      </c>
      <c r="G222" s="331">
        <f t="shared" si="42"/>
        <v>38880</v>
      </c>
      <c r="H222" s="331">
        <f t="shared" si="42"/>
        <v>11689.4445</v>
      </c>
      <c r="I222" s="347">
        <f t="shared" ref="I222:I244" si="49">I221*$K222/$K221</f>
        <v>252.92551173749993</v>
      </c>
      <c r="J222" s="331">
        <f t="shared" si="43"/>
        <v>80121.908864533689</v>
      </c>
      <c r="K222" s="322">
        <f t="shared" ref="K222:K244" si="50">K221</f>
        <v>157364.64000000004</v>
      </c>
      <c r="L222" s="323"/>
      <c r="N222" s="332"/>
      <c r="O222" s="319"/>
      <c r="P222" s="321">
        <v>2025</v>
      </c>
      <c r="Q222" s="322">
        <v>0</v>
      </c>
      <c r="R222" s="322">
        <v>0</v>
      </c>
      <c r="S222" s="331">
        <f t="shared" si="44"/>
        <v>3893.0679388429407</v>
      </c>
      <c r="T222" s="335">
        <f t="shared" si="44"/>
        <v>4164.1060784313731</v>
      </c>
      <c r="U222" s="331">
        <f t="shared" si="45"/>
        <v>0</v>
      </c>
      <c r="V222" s="331">
        <f t="shared" si="45"/>
        <v>0</v>
      </c>
      <c r="W222" s="331">
        <f t="shared" ref="W222:W244" si="51">W221*$K222/$K221</f>
        <v>0</v>
      </c>
      <c r="X222" s="331">
        <f t="shared" ref="X222:X244" si="52">X221</f>
        <v>0</v>
      </c>
      <c r="Y222" s="331">
        <f t="shared" ref="Y222:Y244" si="53">SUM(S222:X222)</f>
        <v>8057.1740172743139</v>
      </c>
      <c r="Z222" s="322">
        <f t="shared" ref="Z222:Z244" si="54">Z221</f>
        <v>157364.64000000004</v>
      </c>
      <c r="AA222" s="323"/>
      <c r="AC222" s="332"/>
      <c r="AD222" s="346"/>
      <c r="AE222" s="321">
        <f t="shared" si="40"/>
        <v>2016</v>
      </c>
      <c r="AF222" s="322">
        <v>0</v>
      </c>
      <c r="AG222" s="322">
        <v>0</v>
      </c>
      <c r="AH222" s="331">
        <f t="shared" si="46"/>
        <v>0</v>
      </c>
      <c r="AI222" s="331">
        <f t="shared" si="46"/>
        <v>0</v>
      </c>
      <c r="AJ222" s="331">
        <f t="shared" si="47"/>
        <v>0</v>
      </c>
      <c r="AK222" s="331">
        <f t="shared" si="47"/>
        <v>0</v>
      </c>
      <c r="AL222" s="331">
        <f t="shared" ref="AL222:AL244" si="55">AL221*$K222/$K221</f>
        <v>0</v>
      </c>
      <c r="AM222" s="331">
        <f t="shared" si="48"/>
        <v>0</v>
      </c>
      <c r="AN222" s="322">
        <f t="shared" ref="AN222:AN244" si="56">AN221</f>
        <v>0</v>
      </c>
      <c r="AO222" s="323"/>
      <c r="AQ222" s="332"/>
    </row>
    <row r="223" spans="2:43" s="314" customFormat="1" ht="15.75" x14ac:dyDescent="0.25">
      <c r="B223" s="321">
        <v>2026</v>
      </c>
      <c r="C223" s="322">
        <v>0</v>
      </c>
      <c r="D223" s="322">
        <v>0</v>
      </c>
      <c r="E223" s="331">
        <f t="shared" si="41"/>
        <v>3893.0679388429407</v>
      </c>
      <c r="F223" s="331">
        <f t="shared" si="41"/>
        <v>25406.470913953242</v>
      </c>
      <c r="G223" s="331">
        <f t="shared" si="42"/>
        <v>38880</v>
      </c>
      <c r="H223" s="331">
        <f t="shared" si="42"/>
        <v>11689.4445</v>
      </c>
      <c r="I223" s="347">
        <f t="shared" si="49"/>
        <v>252.92551173749993</v>
      </c>
      <c r="J223" s="331">
        <f t="shared" si="43"/>
        <v>80121.908864533689</v>
      </c>
      <c r="K223" s="322">
        <f t="shared" si="50"/>
        <v>157364.64000000004</v>
      </c>
      <c r="L223" s="323"/>
      <c r="N223" s="336"/>
      <c r="O223" s="319"/>
      <c r="P223" s="321">
        <v>2026</v>
      </c>
      <c r="Q223" s="322">
        <v>0</v>
      </c>
      <c r="R223" s="322">
        <v>0</v>
      </c>
      <c r="S223" s="331">
        <f t="shared" si="44"/>
        <v>3893.0679388429407</v>
      </c>
      <c r="T223" s="331">
        <f t="shared" si="44"/>
        <v>4164.1060784313731</v>
      </c>
      <c r="U223" s="331">
        <f t="shared" si="45"/>
        <v>0</v>
      </c>
      <c r="V223" s="331">
        <f t="shared" si="45"/>
        <v>0</v>
      </c>
      <c r="W223" s="331">
        <f t="shared" si="51"/>
        <v>0</v>
      </c>
      <c r="X223" s="331">
        <f t="shared" si="52"/>
        <v>0</v>
      </c>
      <c r="Y223" s="331">
        <f t="shared" si="53"/>
        <v>8057.1740172743139</v>
      </c>
      <c r="Z223" s="322">
        <f t="shared" si="54"/>
        <v>157364.64000000004</v>
      </c>
      <c r="AA223" s="323"/>
      <c r="AC223" s="336"/>
      <c r="AD223" s="346"/>
      <c r="AE223" s="321">
        <f t="shared" si="40"/>
        <v>2017</v>
      </c>
      <c r="AF223" s="322">
        <v>0</v>
      </c>
      <c r="AG223" s="322">
        <v>0</v>
      </c>
      <c r="AH223" s="331">
        <f t="shared" si="46"/>
        <v>0</v>
      </c>
      <c r="AI223" s="331">
        <f t="shared" si="46"/>
        <v>0</v>
      </c>
      <c r="AJ223" s="331">
        <f t="shared" si="47"/>
        <v>0</v>
      </c>
      <c r="AK223" s="331">
        <f t="shared" si="47"/>
        <v>0</v>
      </c>
      <c r="AL223" s="331">
        <f t="shared" si="55"/>
        <v>0</v>
      </c>
      <c r="AM223" s="331">
        <f t="shared" si="48"/>
        <v>0</v>
      </c>
      <c r="AN223" s="322">
        <f t="shared" si="56"/>
        <v>0</v>
      </c>
      <c r="AO223" s="323"/>
      <c r="AQ223" s="336"/>
    </row>
    <row r="224" spans="2:43" s="314" customFormat="1" ht="15.75" x14ac:dyDescent="0.25">
      <c r="B224" s="321">
        <v>2027</v>
      </c>
      <c r="C224" s="322">
        <v>0</v>
      </c>
      <c r="D224" s="322">
        <v>0</v>
      </c>
      <c r="E224" s="331">
        <f t="shared" si="41"/>
        <v>3893.0679388429407</v>
      </c>
      <c r="F224" s="331">
        <f t="shared" si="41"/>
        <v>25406.470913953242</v>
      </c>
      <c r="G224" s="331">
        <f t="shared" si="42"/>
        <v>38880</v>
      </c>
      <c r="H224" s="331">
        <f t="shared" si="42"/>
        <v>11689.4445</v>
      </c>
      <c r="I224" s="347">
        <f t="shared" si="49"/>
        <v>252.92551173749993</v>
      </c>
      <c r="J224" s="331">
        <f t="shared" si="43"/>
        <v>80121.908864533689</v>
      </c>
      <c r="K224" s="322">
        <f t="shared" si="50"/>
        <v>157364.64000000004</v>
      </c>
      <c r="L224" s="323"/>
      <c r="O224" s="319"/>
      <c r="P224" s="321">
        <v>2027</v>
      </c>
      <c r="Q224" s="322">
        <v>0</v>
      </c>
      <c r="R224" s="322">
        <v>0</v>
      </c>
      <c r="S224" s="331">
        <f t="shared" si="44"/>
        <v>3893.0679388429407</v>
      </c>
      <c r="T224" s="331">
        <f t="shared" si="44"/>
        <v>4164.1060784313731</v>
      </c>
      <c r="U224" s="331">
        <f t="shared" si="45"/>
        <v>0</v>
      </c>
      <c r="V224" s="331">
        <f t="shared" si="45"/>
        <v>0</v>
      </c>
      <c r="W224" s="331">
        <f t="shared" si="51"/>
        <v>0</v>
      </c>
      <c r="X224" s="331">
        <f t="shared" si="52"/>
        <v>0</v>
      </c>
      <c r="Y224" s="331">
        <f t="shared" si="53"/>
        <v>8057.1740172743139</v>
      </c>
      <c r="Z224" s="322">
        <f t="shared" si="54"/>
        <v>157364.64000000004</v>
      </c>
      <c r="AA224" s="323"/>
      <c r="AD224" s="346"/>
      <c r="AE224" s="321">
        <f t="shared" si="40"/>
        <v>2018</v>
      </c>
      <c r="AF224" s="322">
        <v>0</v>
      </c>
      <c r="AG224" s="322">
        <v>0</v>
      </c>
      <c r="AH224" s="331">
        <f t="shared" si="46"/>
        <v>0</v>
      </c>
      <c r="AI224" s="331">
        <f t="shared" si="46"/>
        <v>0</v>
      </c>
      <c r="AJ224" s="331">
        <f t="shared" si="47"/>
        <v>0</v>
      </c>
      <c r="AK224" s="331">
        <f t="shared" si="47"/>
        <v>0</v>
      </c>
      <c r="AL224" s="331">
        <f t="shared" si="55"/>
        <v>0</v>
      </c>
      <c r="AM224" s="331">
        <f t="shared" si="48"/>
        <v>0</v>
      </c>
      <c r="AN224" s="322">
        <f t="shared" si="56"/>
        <v>0</v>
      </c>
      <c r="AO224" s="323"/>
    </row>
    <row r="225" spans="2:41" s="314" customFormat="1" ht="15.75" x14ac:dyDescent="0.25">
      <c r="B225" s="321">
        <v>2028</v>
      </c>
      <c r="C225" s="322">
        <v>0</v>
      </c>
      <c r="D225" s="322">
        <v>0</v>
      </c>
      <c r="E225" s="331">
        <f t="shared" si="41"/>
        <v>3893.0679388429407</v>
      </c>
      <c r="F225" s="331">
        <f t="shared" si="41"/>
        <v>25406.470913953242</v>
      </c>
      <c r="G225" s="331">
        <f t="shared" si="42"/>
        <v>38880</v>
      </c>
      <c r="H225" s="331">
        <f t="shared" si="42"/>
        <v>11689.4445</v>
      </c>
      <c r="I225" s="347">
        <f t="shared" si="49"/>
        <v>252.92551173749993</v>
      </c>
      <c r="J225" s="331">
        <f t="shared" si="43"/>
        <v>80121.908864533689</v>
      </c>
      <c r="K225" s="322">
        <f t="shared" si="50"/>
        <v>157364.64000000004</v>
      </c>
      <c r="L225" s="323"/>
      <c r="O225" s="319"/>
      <c r="P225" s="321">
        <v>2028</v>
      </c>
      <c r="Q225" s="322">
        <v>0</v>
      </c>
      <c r="R225" s="322">
        <v>0</v>
      </c>
      <c r="S225" s="331">
        <f t="shared" si="44"/>
        <v>3893.0679388429407</v>
      </c>
      <c r="T225" s="331">
        <f t="shared" si="44"/>
        <v>4164.1060784313731</v>
      </c>
      <c r="U225" s="331">
        <f t="shared" si="45"/>
        <v>0</v>
      </c>
      <c r="V225" s="331">
        <f t="shared" si="45"/>
        <v>0</v>
      </c>
      <c r="W225" s="331">
        <f t="shared" si="51"/>
        <v>0</v>
      </c>
      <c r="X225" s="331">
        <f t="shared" si="52"/>
        <v>0</v>
      </c>
      <c r="Y225" s="331">
        <f t="shared" si="53"/>
        <v>8057.1740172743139</v>
      </c>
      <c r="Z225" s="322">
        <f t="shared" si="54"/>
        <v>157364.64000000004</v>
      </c>
      <c r="AA225" s="323"/>
      <c r="AD225" s="346"/>
      <c r="AE225" s="321">
        <f t="shared" si="40"/>
        <v>2019</v>
      </c>
      <c r="AF225" s="322">
        <v>0</v>
      </c>
      <c r="AG225" s="322">
        <v>0</v>
      </c>
      <c r="AH225" s="331">
        <f t="shared" si="46"/>
        <v>0</v>
      </c>
      <c r="AI225" s="331">
        <f t="shared" si="46"/>
        <v>0</v>
      </c>
      <c r="AJ225" s="331">
        <f t="shared" si="47"/>
        <v>0</v>
      </c>
      <c r="AK225" s="331">
        <f t="shared" si="47"/>
        <v>0</v>
      </c>
      <c r="AL225" s="331">
        <f t="shared" si="55"/>
        <v>0</v>
      </c>
      <c r="AM225" s="331">
        <f t="shared" si="48"/>
        <v>0</v>
      </c>
      <c r="AN225" s="322">
        <f t="shared" si="56"/>
        <v>0</v>
      </c>
      <c r="AO225" s="323"/>
    </row>
    <row r="226" spans="2:41" s="314" customFormat="1" ht="15.75" x14ac:dyDescent="0.25">
      <c r="B226" s="321">
        <v>2029</v>
      </c>
      <c r="C226" s="322">
        <v>0</v>
      </c>
      <c r="D226" s="322">
        <v>0</v>
      </c>
      <c r="E226" s="331">
        <f t="shared" si="41"/>
        <v>3893.0679388429407</v>
      </c>
      <c r="F226" s="331">
        <f t="shared" si="41"/>
        <v>25406.470913953242</v>
      </c>
      <c r="G226" s="331">
        <f t="shared" si="42"/>
        <v>38880</v>
      </c>
      <c r="H226" s="331">
        <f t="shared" si="42"/>
        <v>11689.4445</v>
      </c>
      <c r="I226" s="347">
        <f t="shared" si="49"/>
        <v>252.92551173749993</v>
      </c>
      <c r="J226" s="331">
        <f t="shared" si="43"/>
        <v>80121.908864533689</v>
      </c>
      <c r="K226" s="322">
        <f t="shared" si="50"/>
        <v>157364.64000000004</v>
      </c>
      <c r="L226" s="323"/>
      <c r="O226" s="319"/>
      <c r="P226" s="321">
        <v>2029</v>
      </c>
      <c r="Q226" s="322">
        <v>0</v>
      </c>
      <c r="R226" s="322">
        <v>0</v>
      </c>
      <c r="S226" s="331">
        <f t="shared" si="44"/>
        <v>3893.0679388429407</v>
      </c>
      <c r="T226" s="331">
        <f t="shared" si="44"/>
        <v>4164.1060784313731</v>
      </c>
      <c r="U226" s="331">
        <f t="shared" si="45"/>
        <v>0</v>
      </c>
      <c r="V226" s="331">
        <f t="shared" si="45"/>
        <v>0</v>
      </c>
      <c r="W226" s="331">
        <f t="shared" si="51"/>
        <v>0</v>
      </c>
      <c r="X226" s="331">
        <f t="shared" si="52"/>
        <v>0</v>
      </c>
      <c r="Y226" s="331">
        <f t="shared" si="53"/>
        <v>8057.1740172743139</v>
      </c>
      <c r="Z226" s="322">
        <f t="shared" si="54"/>
        <v>157364.64000000004</v>
      </c>
      <c r="AA226" s="323"/>
      <c r="AD226" s="346"/>
      <c r="AE226" s="321">
        <f t="shared" si="40"/>
        <v>2020</v>
      </c>
      <c r="AF226" s="322">
        <v>0</v>
      </c>
      <c r="AG226" s="322">
        <v>0</v>
      </c>
      <c r="AH226" s="331">
        <f t="shared" si="46"/>
        <v>0</v>
      </c>
      <c r="AI226" s="331">
        <f t="shared" si="46"/>
        <v>0</v>
      </c>
      <c r="AJ226" s="331">
        <f t="shared" si="47"/>
        <v>0</v>
      </c>
      <c r="AK226" s="331">
        <f t="shared" si="47"/>
        <v>0</v>
      </c>
      <c r="AL226" s="331">
        <f t="shared" si="55"/>
        <v>0</v>
      </c>
      <c r="AM226" s="331">
        <f t="shared" si="48"/>
        <v>0</v>
      </c>
      <c r="AN226" s="322">
        <f t="shared" si="56"/>
        <v>0</v>
      </c>
      <c r="AO226" s="323"/>
    </row>
    <row r="227" spans="2:41" s="314" customFormat="1" ht="15.75" x14ac:dyDescent="0.25">
      <c r="B227" s="321">
        <v>2030</v>
      </c>
      <c r="C227" s="322">
        <v>0</v>
      </c>
      <c r="D227" s="322">
        <v>0</v>
      </c>
      <c r="E227" s="331">
        <f t="shared" si="41"/>
        <v>3893.0679388429407</v>
      </c>
      <c r="F227" s="331">
        <f t="shared" si="41"/>
        <v>25406.470913953242</v>
      </c>
      <c r="G227" s="331">
        <f t="shared" si="42"/>
        <v>38880</v>
      </c>
      <c r="H227" s="331">
        <f t="shared" si="42"/>
        <v>11689.4445</v>
      </c>
      <c r="I227" s="347">
        <f t="shared" si="49"/>
        <v>252.92551173749993</v>
      </c>
      <c r="J227" s="331">
        <f t="shared" si="43"/>
        <v>80121.908864533689</v>
      </c>
      <c r="K227" s="322">
        <f t="shared" si="50"/>
        <v>157364.64000000004</v>
      </c>
      <c r="L227" s="323"/>
      <c r="O227" s="319"/>
      <c r="P227" s="321">
        <v>2030</v>
      </c>
      <c r="Q227" s="322">
        <v>0</v>
      </c>
      <c r="R227" s="322">
        <v>0</v>
      </c>
      <c r="S227" s="331">
        <f t="shared" si="44"/>
        <v>3893.0679388429407</v>
      </c>
      <c r="T227" s="331">
        <f t="shared" si="44"/>
        <v>4164.1060784313731</v>
      </c>
      <c r="U227" s="331">
        <f t="shared" si="45"/>
        <v>0</v>
      </c>
      <c r="V227" s="331">
        <f t="shared" si="45"/>
        <v>0</v>
      </c>
      <c r="W227" s="331">
        <f t="shared" si="51"/>
        <v>0</v>
      </c>
      <c r="X227" s="331">
        <f t="shared" si="52"/>
        <v>0</v>
      </c>
      <c r="Y227" s="331">
        <f t="shared" si="53"/>
        <v>8057.1740172743139</v>
      </c>
      <c r="Z227" s="322">
        <f t="shared" si="54"/>
        <v>157364.64000000004</v>
      </c>
      <c r="AA227" s="323"/>
      <c r="AD227" s="346"/>
      <c r="AE227" s="321">
        <f t="shared" si="40"/>
        <v>2021</v>
      </c>
      <c r="AF227" s="322">
        <v>0</v>
      </c>
      <c r="AG227" s="322">
        <v>0</v>
      </c>
      <c r="AH227" s="331">
        <f t="shared" si="46"/>
        <v>0</v>
      </c>
      <c r="AI227" s="331">
        <f t="shared" si="46"/>
        <v>0</v>
      </c>
      <c r="AJ227" s="331">
        <f t="shared" si="47"/>
        <v>0</v>
      </c>
      <c r="AK227" s="331">
        <f t="shared" si="47"/>
        <v>0</v>
      </c>
      <c r="AL227" s="331">
        <f t="shared" si="55"/>
        <v>0</v>
      </c>
      <c r="AM227" s="331">
        <f t="shared" si="48"/>
        <v>0</v>
      </c>
      <c r="AN227" s="322">
        <f t="shared" si="56"/>
        <v>0</v>
      </c>
      <c r="AO227" s="323"/>
    </row>
    <row r="228" spans="2:41" s="314" customFormat="1" ht="15.75" x14ac:dyDescent="0.25">
      <c r="B228" s="321">
        <v>2031</v>
      </c>
      <c r="C228" s="322">
        <v>0</v>
      </c>
      <c r="D228" s="322">
        <v>0</v>
      </c>
      <c r="E228" s="331">
        <f t="shared" si="41"/>
        <v>3893.0679388429407</v>
      </c>
      <c r="F228" s="331">
        <f t="shared" si="41"/>
        <v>25406.470913953242</v>
      </c>
      <c r="G228" s="331">
        <f t="shared" si="42"/>
        <v>38880</v>
      </c>
      <c r="H228" s="331">
        <f t="shared" si="42"/>
        <v>11689.4445</v>
      </c>
      <c r="I228" s="347">
        <f t="shared" si="49"/>
        <v>252.92551173749993</v>
      </c>
      <c r="J228" s="331">
        <f t="shared" si="43"/>
        <v>80121.908864533689</v>
      </c>
      <c r="K228" s="322">
        <f t="shared" si="50"/>
        <v>157364.64000000004</v>
      </c>
      <c r="L228" s="323"/>
      <c r="O228" s="319"/>
      <c r="P228" s="321">
        <v>2031</v>
      </c>
      <c r="Q228" s="322">
        <v>0</v>
      </c>
      <c r="R228" s="322">
        <v>0</v>
      </c>
      <c r="S228" s="331">
        <f t="shared" si="44"/>
        <v>3893.0679388429407</v>
      </c>
      <c r="T228" s="331">
        <f t="shared" si="44"/>
        <v>4164.1060784313731</v>
      </c>
      <c r="U228" s="331">
        <f t="shared" si="45"/>
        <v>0</v>
      </c>
      <c r="V228" s="331">
        <f t="shared" si="45"/>
        <v>0</v>
      </c>
      <c r="W228" s="331">
        <f t="shared" si="51"/>
        <v>0</v>
      </c>
      <c r="X228" s="331">
        <f t="shared" si="52"/>
        <v>0</v>
      </c>
      <c r="Y228" s="331">
        <f t="shared" si="53"/>
        <v>8057.1740172743139</v>
      </c>
      <c r="Z228" s="322">
        <f t="shared" si="54"/>
        <v>157364.64000000004</v>
      </c>
      <c r="AA228" s="323"/>
      <c r="AD228" s="346"/>
      <c r="AE228" s="321">
        <f t="shared" si="40"/>
        <v>2022</v>
      </c>
      <c r="AF228" s="322">
        <v>0</v>
      </c>
      <c r="AG228" s="322">
        <v>0</v>
      </c>
      <c r="AH228" s="331">
        <f t="shared" si="46"/>
        <v>0</v>
      </c>
      <c r="AI228" s="331">
        <f t="shared" si="46"/>
        <v>0</v>
      </c>
      <c r="AJ228" s="331">
        <f t="shared" si="47"/>
        <v>0</v>
      </c>
      <c r="AK228" s="331">
        <f t="shared" si="47"/>
        <v>0</v>
      </c>
      <c r="AL228" s="331">
        <f t="shared" si="55"/>
        <v>0</v>
      </c>
      <c r="AM228" s="331">
        <f t="shared" si="48"/>
        <v>0</v>
      </c>
      <c r="AN228" s="322">
        <f t="shared" si="56"/>
        <v>0</v>
      </c>
      <c r="AO228" s="323"/>
    </row>
    <row r="229" spans="2:41" s="314" customFormat="1" ht="15.75" x14ac:dyDescent="0.25">
      <c r="B229" s="321">
        <v>2032</v>
      </c>
      <c r="C229" s="322">
        <v>0</v>
      </c>
      <c r="D229" s="322">
        <v>0</v>
      </c>
      <c r="E229" s="331">
        <f t="shared" si="41"/>
        <v>3893.0679388429407</v>
      </c>
      <c r="F229" s="331">
        <f t="shared" si="41"/>
        <v>25406.470913953242</v>
      </c>
      <c r="G229" s="331">
        <f t="shared" si="42"/>
        <v>38880</v>
      </c>
      <c r="H229" s="331">
        <f t="shared" si="42"/>
        <v>11689.4445</v>
      </c>
      <c r="I229" s="347">
        <f t="shared" si="49"/>
        <v>252.92551173749993</v>
      </c>
      <c r="J229" s="331">
        <f t="shared" si="43"/>
        <v>80121.908864533689</v>
      </c>
      <c r="K229" s="322">
        <f t="shared" si="50"/>
        <v>157364.64000000004</v>
      </c>
      <c r="L229" s="323"/>
      <c r="O229" s="319"/>
      <c r="P229" s="321">
        <v>2032</v>
      </c>
      <c r="Q229" s="322">
        <v>0</v>
      </c>
      <c r="R229" s="322">
        <v>0</v>
      </c>
      <c r="S229" s="331">
        <f t="shared" si="44"/>
        <v>3893.0679388429407</v>
      </c>
      <c r="T229" s="331">
        <f t="shared" si="44"/>
        <v>4164.1060784313731</v>
      </c>
      <c r="U229" s="331">
        <f t="shared" si="45"/>
        <v>0</v>
      </c>
      <c r="V229" s="331">
        <f t="shared" si="45"/>
        <v>0</v>
      </c>
      <c r="W229" s="331">
        <f t="shared" si="51"/>
        <v>0</v>
      </c>
      <c r="X229" s="331">
        <f t="shared" si="52"/>
        <v>0</v>
      </c>
      <c r="Y229" s="331">
        <f t="shared" si="53"/>
        <v>8057.1740172743139</v>
      </c>
      <c r="Z229" s="322">
        <f t="shared" si="54"/>
        <v>157364.64000000004</v>
      </c>
      <c r="AA229" s="323"/>
      <c r="AD229" s="346"/>
      <c r="AE229" s="321">
        <f t="shared" si="40"/>
        <v>2023</v>
      </c>
      <c r="AF229" s="322">
        <v>0</v>
      </c>
      <c r="AG229" s="322">
        <v>0</v>
      </c>
      <c r="AH229" s="331">
        <f t="shared" si="46"/>
        <v>0</v>
      </c>
      <c r="AI229" s="331">
        <f t="shared" si="46"/>
        <v>0</v>
      </c>
      <c r="AJ229" s="331">
        <f t="shared" si="47"/>
        <v>0</v>
      </c>
      <c r="AK229" s="331">
        <f t="shared" si="47"/>
        <v>0</v>
      </c>
      <c r="AL229" s="331">
        <f t="shared" si="55"/>
        <v>0</v>
      </c>
      <c r="AM229" s="331">
        <f t="shared" si="48"/>
        <v>0</v>
      </c>
      <c r="AN229" s="322">
        <f t="shared" si="56"/>
        <v>0</v>
      </c>
      <c r="AO229" s="323"/>
    </row>
    <row r="230" spans="2:41" s="314" customFormat="1" ht="15.75" x14ac:dyDescent="0.25">
      <c r="B230" s="321">
        <v>2033</v>
      </c>
      <c r="C230" s="322">
        <v>0</v>
      </c>
      <c r="D230" s="322">
        <v>0</v>
      </c>
      <c r="E230" s="331">
        <f t="shared" si="41"/>
        <v>3893.0679388429407</v>
      </c>
      <c r="F230" s="331">
        <f t="shared" si="41"/>
        <v>25406.470913953242</v>
      </c>
      <c r="G230" s="331">
        <f t="shared" si="42"/>
        <v>38880</v>
      </c>
      <c r="H230" s="331">
        <f t="shared" si="42"/>
        <v>11689.4445</v>
      </c>
      <c r="I230" s="347">
        <f t="shared" si="49"/>
        <v>252.92551173749993</v>
      </c>
      <c r="J230" s="331">
        <f t="shared" si="43"/>
        <v>80121.908864533689</v>
      </c>
      <c r="K230" s="322">
        <f t="shared" si="50"/>
        <v>157364.64000000004</v>
      </c>
      <c r="L230" s="323"/>
      <c r="O230" s="319"/>
      <c r="P230" s="321">
        <v>2033</v>
      </c>
      <c r="Q230" s="322">
        <v>0</v>
      </c>
      <c r="R230" s="322">
        <v>0</v>
      </c>
      <c r="S230" s="331">
        <f t="shared" si="44"/>
        <v>3893.0679388429407</v>
      </c>
      <c r="T230" s="331">
        <f t="shared" si="44"/>
        <v>4164.1060784313731</v>
      </c>
      <c r="U230" s="331">
        <f t="shared" si="45"/>
        <v>0</v>
      </c>
      <c r="V230" s="331">
        <f t="shared" si="45"/>
        <v>0</v>
      </c>
      <c r="W230" s="331">
        <f t="shared" si="51"/>
        <v>0</v>
      </c>
      <c r="X230" s="331">
        <f t="shared" si="52"/>
        <v>0</v>
      </c>
      <c r="Y230" s="331">
        <f t="shared" si="53"/>
        <v>8057.1740172743139</v>
      </c>
      <c r="Z230" s="322">
        <f t="shared" si="54"/>
        <v>157364.64000000004</v>
      </c>
      <c r="AA230" s="323"/>
      <c r="AD230" s="346"/>
      <c r="AE230" s="321">
        <f t="shared" si="40"/>
        <v>2024</v>
      </c>
      <c r="AF230" s="322">
        <v>0</v>
      </c>
      <c r="AG230" s="322">
        <v>0</v>
      </c>
      <c r="AH230" s="331">
        <f t="shared" si="46"/>
        <v>0</v>
      </c>
      <c r="AI230" s="331">
        <f t="shared" si="46"/>
        <v>0</v>
      </c>
      <c r="AJ230" s="331">
        <f t="shared" si="47"/>
        <v>0</v>
      </c>
      <c r="AK230" s="331">
        <f t="shared" si="47"/>
        <v>0</v>
      </c>
      <c r="AL230" s="331">
        <f t="shared" si="55"/>
        <v>0</v>
      </c>
      <c r="AM230" s="331">
        <f t="shared" si="48"/>
        <v>0</v>
      </c>
      <c r="AN230" s="322">
        <f t="shared" si="56"/>
        <v>0</v>
      </c>
      <c r="AO230" s="323"/>
    </row>
    <row r="231" spans="2:41" s="314" customFormat="1" ht="15.75" x14ac:dyDescent="0.25">
      <c r="B231" s="321">
        <v>2034</v>
      </c>
      <c r="C231" s="322">
        <v>0</v>
      </c>
      <c r="D231" s="322">
        <v>0</v>
      </c>
      <c r="E231" s="331">
        <f t="shared" si="41"/>
        <v>3893.0679388429407</v>
      </c>
      <c r="F231" s="331">
        <f t="shared" si="41"/>
        <v>25406.470913953242</v>
      </c>
      <c r="G231" s="331">
        <f t="shared" si="42"/>
        <v>38880</v>
      </c>
      <c r="H231" s="331">
        <f t="shared" si="42"/>
        <v>11689.4445</v>
      </c>
      <c r="I231" s="347">
        <f t="shared" si="49"/>
        <v>252.92551173749993</v>
      </c>
      <c r="J231" s="331">
        <f t="shared" si="43"/>
        <v>80121.908864533689</v>
      </c>
      <c r="K231" s="322">
        <f t="shared" si="50"/>
        <v>157364.64000000004</v>
      </c>
      <c r="L231" s="323"/>
      <c r="O231" s="319"/>
      <c r="P231" s="321">
        <v>2034</v>
      </c>
      <c r="Q231" s="322">
        <v>0</v>
      </c>
      <c r="R231" s="322">
        <v>0</v>
      </c>
      <c r="S231" s="331">
        <f t="shared" si="44"/>
        <v>3893.0679388429407</v>
      </c>
      <c r="T231" s="331">
        <f t="shared" si="44"/>
        <v>4164.1060784313731</v>
      </c>
      <c r="U231" s="331">
        <f t="shared" si="45"/>
        <v>0</v>
      </c>
      <c r="V231" s="331">
        <f t="shared" si="45"/>
        <v>0</v>
      </c>
      <c r="W231" s="331">
        <f t="shared" si="51"/>
        <v>0</v>
      </c>
      <c r="X231" s="331">
        <f t="shared" si="52"/>
        <v>0</v>
      </c>
      <c r="Y231" s="331">
        <f t="shared" si="53"/>
        <v>8057.1740172743139</v>
      </c>
      <c r="Z231" s="322">
        <f t="shared" si="54"/>
        <v>157364.64000000004</v>
      </c>
      <c r="AA231" s="323"/>
      <c r="AD231" s="346"/>
      <c r="AE231" s="321">
        <f t="shared" si="40"/>
        <v>2025</v>
      </c>
      <c r="AF231" s="322">
        <v>0</v>
      </c>
      <c r="AG231" s="322">
        <v>0</v>
      </c>
      <c r="AH231" s="331">
        <f t="shared" si="46"/>
        <v>0</v>
      </c>
      <c r="AI231" s="331">
        <f t="shared" si="46"/>
        <v>0</v>
      </c>
      <c r="AJ231" s="331">
        <f t="shared" si="47"/>
        <v>0</v>
      </c>
      <c r="AK231" s="331">
        <f t="shared" si="47"/>
        <v>0</v>
      </c>
      <c r="AL231" s="331">
        <f t="shared" si="55"/>
        <v>0</v>
      </c>
      <c r="AM231" s="331">
        <f t="shared" si="48"/>
        <v>0</v>
      </c>
      <c r="AN231" s="322">
        <f t="shared" si="56"/>
        <v>0</v>
      </c>
      <c r="AO231" s="323"/>
    </row>
    <row r="232" spans="2:41" s="314" customFormat="1" ht="15.75" x14ac:dyDescent="0.25">
      <c r="B232" s="321">
        <v>2035</v>
      </c>
      <c r="C232" s="322">
        <v>0</v>
      </c>
      <c r="D232" s="322">
        <v>0</v>
      </c>
      <c r="E232" s="331">
        <f t="shared" si="41"/>
        <v>3893.0679388429407</v>
      </c>
      <c r="F232" s="331">
        <f t="shared" si="41"/>
        <v>25406.470913953242</v>
      </c>
      <c r="G232" s="331">
        <f t="shared" si="42"/>
        <v>38880</v>
      </c>
      <c r="H232" s="331">
        <f t="shared" si="42"/>
        <v>11689.4445</v>
      </c>
      <c r="I232" s="347">
        <f t="shared" si="49"/>
        <v>252.92551173749993</v>
      </c>
      <c r="J232" s="331">
        <f t="shared" si="43"/>
        <v>80121.908864533689</v>
      </c>
      <c r="K232" s="322">
        <f t="shared" si="50"/>
        <v>157364.64000000004</v>
      </c>
      <c r="L232" s="323"/>
      <c r="O232" s="319"/>
      <c r="P232" s="321">
        <v>2035</v>
      </c>
      <c r="Q232" s="322">
        <v>0</v>
      </c>
      <c r="R232" s="322">
        <v>0</v>
      </c>
      <c r="S232" s="331">
        <f t="shared" si="44"/>
        <v>3893.0679388429407</v>
      </c>
      <c r="T232" s="331">
        <f t="shared" si="44"/>
        <v>4164.1060784313731</v>
      </c>
      <c r="U232" s="331">
        <f t="shared" si="45"/>
        <v>0</v>
      </c>
      <c r="V232" s="331">
        <f t="shared" si="45"/>
        <v>0</v>
      </c>
      <c r="W232" s="331">
        <f t="shared" si="51"/>
        <v>0</v>
      </c>
      <c r="X232" s="331">
        <f t="shared" si="52"/>
        <v>0</v>
      </c>
      <c r="Y232" s="331">
        <f t="shared" si="53"/>
        <v>8057.1740172743139</v>
      </c>
      <c r="Z232" s="322">
        <f t="shared" si="54"/>
        <v>157364.64000000004</v>
      </c>
      <c r="AA232" s="323"/>
      <c r="AD232" s="346"/>
      <c r="AE232" s="321">
        <f t="shared" si="40"/>
        <v>2026</v>
      </c>
      <c r="AF232" s="322">
        <v>0</v>
      </c>
      <c r="AG232" s="322">
        <v>0</v>
      </c>
      <c r="AH232" s="331">
        <f t="shared" si="46"/>
        <v>0</v>
      </c>
      <c r="AI232" s="331">
        <f t="shared" si="46"/>
        <v>0</v>
      </c>
      <c r="AJ232" s="331">
        <f t="shared" si="47"/>
        <v>0</v>
      </c>
      <c r="AK232" s="331">
        <f t="shared" si="47"/>
        <v>0</v>
      </c>
      <c r="AL232" s="331">
        <f t="shared" si="55"/>
        <v>0</v>
      </c>
      <c r="AM232" s="331">
        <f t="shared" si="48"/>
        <v>0</v>
      </c>
      <c r="AN232" s="322">
        <f t="shared" si="56"/>
        <v>0</v>
      </c>
      <c r="AO232" s="323"/>
    </row>
    <row r="233" spans="2:41" s="314" customFormat="1" ht="15.75" x14ac:dyDescent="0.25">
      <c r="B233" s="321">
        <v>2036</v>
      </c>
      <c r="C233" s="322">
        <v>0</v>
      </c>
      <c r="D233" s="322">
        <v>0</v>
      </c>
      <c r="E233" s="331">
        <f t="shared" si="41"/>
        <v>3893.0679388429407</v>
      </c>
      <c r="F233" s="331">
        <f t="shared" si="41"/>
        <v>25406.470913953242</v>
      </c>
      <c r="G233" s="331">
        <f t="shared" si="42"/>
        <v>38880</v>
      </c>
      <c r="H233" s="331">
        <f t="shared" si="42"/>
        <v>11689.4445</v>
      </c>
      <c r="I233" s="347">
        <f t="shared" si="49"/>
        <v>252.92551173749993</v>
      </c>
      <c r="J233" s="331">
        <f t="shared" si="43"/>
        <v>80121.908864533689</v>
      </c>
      <c r="K233" s="322">
        <f t="shared" si="50"/>
        <v>157364.64000000004</v>
      </c>
      <c r="L233" s="323"/>
      <c r="O233" s="319"/>
      <c r="P233" s="321">
        <v>2036</v>
      </c>
      <c r="Q233" s="322">
        <v>0</v>
      </c>
      <c r="R233" s="322">
        <v>0</v>
      </c>
      <c r="S233" s="331">
        <f t="shared" si="44"/>
        <v>3893.0679388429407</v>
      </c>
      <c r="T233" s="331">
        <f t="shared" si="44"/>
        <v>4164.1060784313731</v>
      </c>
      <c r="U233" s="331">
        <f t="shared" si="45"/>
        <v>0</v>
      </c>
      <c r="V233" s="331">
        <f t="shared" si="45"/>
        <v>0</v>
      </c>
      <c r="W233" s="331">
        <f t="shared" si="51"/>
        <v>0</v>
      </c>
      <c r="X233" s="331">
        <f t="shared" si="52"/>
        <v>0</v>
      </c>
      <c r="Y233" s="331">
        <f t="shared" si="53"/>
        <v>8057.1740172743139</v>
      </c>
      <c r="Z233" s="322">
        <f t="shared" si="54"/>
        <v>157364.64000000004</v>
      </c>
      <c r="AA233" s="323"/>
      <c r="AD233" s="346"/>
      <c r="AE233" s="321">
        <f t="shared" si="40"/>
        <v>2027</v>
      </c>
      <c r="AF233" s="322">
        <v>0</v>
      </c>
      <c r="AG233" s="322">
        <v>0</v>
      </c>
      <c r="AH233" s="331">
        <f t="shared" si="46"/>
        <v>0</v>
      </c>
      <c r="AI233" s="331">
        <f t="shared" si="46"/>
        <v>0</v>
      </c>
      <c r="AJ233" s="331">
        <f t="shared" si="47"/>
        <v>0</v>
      </c>
      <c r="AK233" s="331">
        <f t="shared" si="47"/>
        <v>0</v>
      </c>
      <c r="AL233" s="331">
        <f t="shared" si="55"/>
        <v>0</v>
      </c>
      <c r="AM233" s="331">
        <f t="shared" si="48"/>
        <v>0</v>
      </c>
      <c r="AN233" s="322">
        <f t="shared" si="56"/>
        <v>0</v>
      </c>
      <c r="AO233" s="323"/>
    </row>
    <row r="234" spans="2:41" s="314" customFormat="1" ht="15.75" x14ac:dyDescent="0.25">
      <c r="B234" s="321">
        <v>2037</v>
      </c>
      <c r="C234" s="322">
        <v>0</v>
      </c>
      <c r="D234" s="322">
        <f>D215</f>
        <v>0</v>
      </c>
      <c r="E234" s="331">
        <f t="shared" si="41"/>
        <v>3893.0679388429407</v>
      </c>
      <c r="F234" s="331">
        <f t="shared" si="41"/>
        <v>25406.470913953242</v>
      </c>
      <c r="G234" s="331">
        <f t="shared" si="42"/>
        <v>38880</v>
      </c>
      <c r="H234" s="331">
        <f t="shared" si="42"/>
        <v>11689.4445</v>
      </c>
      <c r="I234" s="347">
        <f t="shared" si="49"/>
        <v>252.92551173749993</v>
      </c>
      <c r="J234" s="331">
        <f t="shared" si="43"/>
        <v>80121.908864533689</v>
      </c>
      <c r="K234" s="322">
        <f t="shared" si="50"/>
        <v>157364.64000000004</v>
      </c>
      <c r="L234" s="323"/>
      <c r="O234" s="319"/>
      <c r="P234" s="321">
        <v>2037</v>
      </c>
      <c r="Q234" s="322">
        <v>0</v>
      </c>
      <c r="R234" s="322">
        <f>R215</f>
        <v>0</v>
      </c>
      <c r="S234" s="331">
        <f t="shared" si="44"/>
        <v>3893.0679388429407</v>
      </c>
      <c r="T234" s="331">
        <f t="shared" si="44"/>
        <v>4164.1060784313731</v>
      </c>
      <c r="U234" s="331">
        <f t="shared" si="45"/>
        <v>0</v>
      </c>
      <c r="V234" s="331">
        <f t="shared" si="45"/>
        <v>0</v>
      </c>
      <c r="W234" s="331">
        <f t="shared" si="51"/>
        <v>0</v>
      </c>
      <c r="X234" s="331">
        <f t="shared" si="52"/>
        <v>0</v>
      </c>
      <c r="Y234" s="331">
        <f t="shared" si="53"/>
        <v>8057.1740172743139</v>
      </c>
      <c r="Z234" s="322">
        <f t="shared" si="54"/>
        <v>157364.64000000004</v>
      </c>
      <c r="AA234" s="323"/>
      <c r="AD234" s="346"/>
      <c r="AE234" s="321">
        <f t="shared" si="40"/>
        <v>2028</v>
      </c>
      <c r="AF234" s="322">
        <v>0</v>
      </c>
      <c r="AG234" s="322">
        <f>AG215</f>
        <v>0</v>
      </c>
      <c r="AH234" s="331">
        <f t="shared" si="46"/>
        <v>0</v>
      </c>
      <c r="AI234" s="331">
        <f t="shared" si="46"/>
        <v>0</v>
      </c>
      <c r="AJ234" s="331">
        <f t="shared" si="47"/>
        <v>0</v>
      </c>
      <c r="AK234" s="331">
        <f t="shared" si="47"/>
        <v>0</v>
      </c>
      <c r="AL234" s="331">
        <f t="shared" si="55"/>
        <v>0</v>
      </c>
      <c r="AM234" s="331">
        <f t="shared" si="48"/>
        <v>0</v>
      </c>
      <c r="AN234" s="322">
        <f t="shared" si="56"/>
        <v>0</v>
      </c>
      <c r="AO234" s="323"/>
    </row>
    <row r="235" spans="2:41" s="314" customFormat="1" ht="15.75" x14ac:dyDescent="0.25">
      <c r="B235" s="321">
        <v>2038</v>
      </c>
      <c r="C235" s="322">
        <v>0</v>
      </c>
      <c r="D235" s="322">
        <f>D216</f>
        <v>63539.630000000005</v>
      </c>
      <c r="E235" s="331">
        <f t="shared" si="41"/>
        <v>3893.0679388429407</v>
      </c>
      <c r="F235" s="331">
        <f t="shared" si="41"/>
        <v>25406.470913953242</v>
      </c>
      <c r="G235" s="331">
        <f t="shared" si="42"/>
        <v>38880</v>
      </c>
      <c r="H235" s="331">
        <f t="shared" si="42"/>
        <v>11689.4445</v>
      </c>
      <c r="I235" s="347">
        <f t="shared" si="49"/>
        <v>252.92551173749993</v>
      </c>
      <c r="J235" s="331">
        <f t="shared" si="43"/>
        <v>80121.908864533689</v>
      </c>
      <c r="K235" s="322">
        <f t="shared" si="50"/>
        <v>157364.64000000004</v>
      </c>
      <c r="L235" s="323"/>
      <c r="O235" s="319"/>
      <c r="P235" s="321">
        <v>2038</v>
      </c>
      <c r="Q235" s="322">
        <v>0</v>
      </c>
      <c r="R235" s="322">
        <f>R216</f>
        <v>0</v>
      </c>
      <c r="S235" s="331">
        <f t="shared" si="44"/>
        <v>3893.0679388429407</v>
      </c>
      <c r="T235" s="331">
        <f t="shared" si="44"/>
        <v>4164.1060784313731</v>
      </c>
      <c r="U235" s="331">
        <f t="shared" si="45"/>
        <v>0</v>
      </c>
      <c r="V235" s="331">
        <f t="shared" si="45"/>
        <v>0</v>
      </c>
      <c r="W235" s="331">
        <f t="shared" si="51"/>
        <v>0</v>
      </c>
      <c r="X235" s="331">
        <f t="shared" si="52"/>
        <v>0</v>
      </c>
      <c r="Y235" s="331">
        <f t="shared" si="53"/>
        <v>8057.1740172743139</v>
      </c>
      <c r="Z235" s="322">
        <f t="shared" si="54"/>
        <v>157364.64000000004</v>
      </c>
      <c r="AA235" s="323"/>
      <c r="AD235" s="346"/>
      <c r="AE235" s="321">
        <f t="shared" si="40"/>
        <v>2029</v>
      </c>
      <c r="AF235" s="322">
        <v>0</v>
      </c>
      <c r="AG235" s="322">
        <f>AG216</f>
        <v>0</v>
      </c>
      <c r="AH235" s="331">
        <f t="shared" si="46"/>
        <v>0</v>
      </c>
      <c r="AI235" s="331">
        <f t="shared" si="46"/>
        <v>0</v>
      </c>
      <c r="AJ235" s="331">
        <f t="shared" si="47"/>
        <v>0</v>
      </c>
      <c r="AK235" s="331">
        <f t="shared" si="47"/>
        <v>0</v>
      </c>
      <c r="AL235" s="331">
        <f t="shared" si="55"/>
        <v>0</v>
      </c>
      <c r="AM235" s="331">
        <f t="shared" si="48"/>
        <v>0</v>
      </c>
      <c r="AN235" s="322">
        <f t="shared" si="56"/>
        <v>0</v>
      </c>
      <c r="AO235" s="323"/>
    </row>
    <row r="236" spans="2:41" s="314" customFormat="1" ht="15.75" x14ac:dyDescent="0.25">
      <c r="B236" s="321">
        <v>2039</v>
      </c>
      <c r="C236" s="322">
        <v>0</v>
      </c>
      <c r="D236" s="322">
        <f t="shared" ref="D236:D244" si="57">D217</f>
        <v>190618.89</v>
      </c>
      <c r="E236" s="331">
        <f t="shared" si="41"/>
        <v>3893.0679388429407</v>
      </c>
      <c r="F236" s="331">
        <f t="shared" si="41"/>
        <v>25406.470913953242</v>
      </c>
      <c r="G236" s="331">
        <f t="shared" si="42"/>
        <v>38880</v>
      </c>
      <c r="H236" s="331">
        <f t="shared" si="42"/>
        <v>11689.4445</v>
      </c>
      <c r="I236" s="347">
        <f t="shared" si="49"/>
        <v>252.92551173749993</v>
      </c>
      <c r="J236" s="331">
        <f t="shared" si="43"/>
        <v>80121.908864533689</v>
      </c>
      <c r="K236" s="322">
        <f t="shared" si="50"/>
        <v>157364.64000000004</v>
      </c>
      <c r="L236" s="323"/>
      <c r="O236" s="319"/>
      <c r="P236" s="321">
        <v>2039</v>
      </c>
      <c r="Q236" s="322">
        <v>0</v>
      </c>
      <c r="R236" s="322">
        <f t="shared" ref="R236:R244" si="58">R217</f>
        <v>0</v>
      </c>
      <c r="S236" s="331">
        <f t="shared" si="44"/>
        <v>3893.0679388429407</v>
      </c>
      <c r="T236" s="331">
        <f t="shared" si="44"/>
        <v>4164.1060784313731</v>
      </c>
      <c r="U236" s="331">
        <f t="shared" si="45"/>
        <v>0</v>
      </c>
      <c r="V236" s="331">
        <f t="shared" si="45"/>
        <v>0</v>
      </c>
      <c r="W236" s="331">
        <f t="shared" si="51"/>
        <v>0</v>
      </c>
      <c r="X236" s="331">
        <f t="shared" si="52"/>
        <v>0</v>
      </c>
      <c r="Y236" s="331">
        <f t="shared" si="53"/>
        <v>8057.1740172743139</v>
      </c>
      <c r="Z236" s="322">
        <f t="shared" si="54"/>
        <v>157364.64000000004</v>
      </c>
      <c r="AA236" s="323"/>
      <c r="AD236" s="346"/>
      <c r="AE236" s="321">
        <f t="shared" si="40"/>
        <v>2030</v>
      </c>
      <c r="AF236" s="322">
        <v>0</v>
      </c>
      <c r="AG236" s="322">
        <f t="shared" ref="AG236:AG244" si="59">AG217</f>
        <v>0</v>
      </c>
      <c r="AH236" s="331">
        <f t="shared" si="46"/>
        <v>0</v>
      </c>
      <c r="AI236" s="331">
        <f t="shared" si="46"/>
        <v>0</v>
      </c>
      <c r="AJ236" s="331">
        <f t="shared" si="47"/>
        <v>0</v>
      </c>
      <c r="AK236" s="331">
        <f t="shared" si="47"/>
        <v>0</v>
      </c>
      <c r="AL236" s="331">
        <f t="shared" si="55"/>
        <v>0</v>
      </c>
      <c r="AM236" s="331">
        <f t="shared" si="48"/>
        <v>0</v>
      </c>
      <c r="AN236" s="322">
        <f t="shared" si="56"/>
        <v>0</v>
      </c>
      <c r="AO236" s="323"/>
    </row>
    <row r="237" spans="2:41" s="314" customFormat="1" ht="15.75" x14ac:dyDescent="0.25">
      <c r="B237" s="321">
        <v>2040</v>
      </c>
      <c r="C237" s="322">
        <v>0</v>
      </c>
      <c r="D237" s="322">
        <f t="shared" si="57"/>
        <v>190618.89</v>
      </c>
      <c r="E237" s="331">
        <f t="shared" ref="E237:F244" si="60">E236*$K237/$K236</f>
        <v>3893.0679388429407</v>
      </c>
      <c r="F237" s="331">
        <f t="shared" si="60"/>
        <v>25406.470913953242</v>
      </c>
      <c r="G237" s="331">
        <f t="shared" ref="G237:H244" si="61">G236</f>
        <v>38880</v>
      </c>
      <c r="H237" s="331">
        <f t="shared" si="61"/>
        <v>11689.4445</v>
      </c>
      <c r="I237" s="347">
        <f t="shared" si="49"/>
        <v>252.92551173749993</v>
      </c>
      <c r="J237" s="331">
        <f t="shared" si="43"/>
        <v>80121.908864533689</v>
      </c>
      <c r="K237" s="322">
        <f t="shared" si="50"/>
        <v>157364.64000000004</v>
      </c>
      <c r="L237" s="323"/>
      <c r="O237" s="319"/>
      <c r="P237" s="321">
        <v>2040</v>
      </c>
      <c r="Q237" s="322">
        <v>0</v>
      </c>
      <c r="R237" s="322">
        <f t="shared" si="58"/>
        <v>0</v>
      </c>
      <c r="S237" s="331">
        <f t="shared" ref="S237:T244" si="62">S236*$K237/$K236</f>
        <v>3893.0679388429407</v>
      </c>
      <c r="T237" s="331">
        <f t="shared" si="62"/>
        <v>4164.1060784313731</v>
      </c>
      <c r="U237" s="331">
        <f t="shared" ref="U237:V244" si="63">U236</f>
        <v>0</v>
      </c>
      <c r="V237" s="331">
        <f t="shared" si="63"/>
        <v>0</v>
      </c>
      <c r="W237" s="331">
        <f t="shared" si="51"/>
        <v>0</v>
      </c>
      <c r="X237" s="331">
        <f t="shared" si="52"/>
        <v>0</v>
      </c>
      <c r="Y237" s="331">
        <f t="shared" si="53"/>
        <v>8057.1740172743139</v>
      </c>
      <c r="Z237" s="322">
        <f t="shared" si="54"/>
        <v>157364.64000000004</v>
      </c>
      <c r="AA237" s="323"/>
      <c r="AD237" s="346"/>
      <c r="AE237" s="321">
        <f t="shared" si="40"/>
        <v>2031</v>
      </c>
      <c r="AF237" s="322">
        <v>0</v>
      </c>
      <c r="AG237" s="322">
        <f t="shared" si="59"/>
        <v>0</v>
      </c>
      <c r="AH237" s="331">
        <f t="shared" ref="AH237:AI244" si="64">AH236*$K237/$K236</f>
        <v>0</v>
      </c>
      <c r="AI237" s="331">
        <f t="shared" si="64"/>
        <v>0</v>
      </c>
      <c r="AJ237" s="331">
        <f t="shared" ref="AJ237:AK244" si="65">AJ236</f>
        <v>0</v>
      </c>
      <c r="AK237" s="331">
        <f t="shared" si="65"/>
        <v>0</v>
      </c>
      <c r="AL237" s="331">
        <f t="shared" si="55"/>
        <v>0</v>
      </c>
      <c r="AM237" s="331">
        <f t="shared" si="48"/>
        <v>0</v>
      </c>
      <c r="AN237" s="322">
        <f t="shared" si="56"/>
        <v>0</v>
      </c>
      <c r="AO237" s="323"/>
    </row>
    <row r="238" spans="2:41" s="314" customFormat="1" ht="15.75" x14ac:dyDescent="0.25">
      <c r="B238" s="321">
        <v>2041</v>
      </c>
      <c r="C238" s="322">
        <v>0</v>
      </c>
      <c r="D238" s="322">
        <f t="shared" si="57"/>
        <v>190618.89</v>
      </c>
      <c r="E238" s="331">
        <f t="shared" si="60"/>
        <v>3893.0679388429407</v>
      </c>
      <c r="F238" s="331">
        <f t="shared" si="60"/>
        <v>25406.470913953242</v>
      </c>
      <c r="G238" s="331">
        <f t="shared" si="61"/>
        <v>38880</v>
      </c>
      <c r="H238" s="331">
        <f t="shared" si="61"/>
        <v>11689.4445</v>
      </c>
      <c r="I238" s="347">
        <f t="shared" si="49"/>
        <v>252.92551173749993</v>
      </c>
      <c r="J238" s="331">
        <f t="shared" si="43"/>
        <v>80121.908864533689</v>
      </c>
      <c r="K238" s="322">
        <f t="shared" si="50"/>
        <v>157364.64000000004</v>
      </c>
      <c r="L238" s="323"/>
      <c r="O238" s="319"/>
      <c r="P238" s="321">
        <v>2041</v>
      </c>
      <c r="Q238" s="322">
        <v>0</v>
      </c>
      <c r="R238" s="322">
        <f t="shared" si="58"/>
        <v>0</v>
      </c>
      <c r="S238" s="331">
        <f t="shared" si="62"/>
        <v>3893.0679388429407</v>
      </c>
      <c r="T238" s="331">
        <f t="shared" si="62"/>
        <v>4164.1060784313731</v>
      </c>
      <c r="U238" s="331">
        <f t="shared" si="63"/>
        <v>0</v>
      </c>
      <c r="V238" s="331">
        <f t="shared" si="63"/>
        <v>0</v>
      </c>
      <c r="W238" s="331">
        <f t="shared" si="51"/>
        <v>0</v>
      </c>
      <c r="X238" s="331">
        <f t="shared" si="52"/>
        <v>0</v>
      </c>
      <c r="Y238" s="331">
        <f t="shared" si="53"/>
        <v>8057.1740172743139</v>
      </c>
      <c r="Z238" s="322">
        <f t="shared" si="54"/>
        <v>157364.64000000004</v>
      </c>
      <c r="AA238" s="323"/>
      <c r="AD238" s="346"/>
      <c r="AE238" s="321">
        <f t="shared" si="40"/>
        <v>2032</v>
      </c>
      <c r="AF238" s="322">
        <v>0</v>
      </c>
      <c r="AG238" s="322">
        <f t="shared" si="59"/>
        <v>0</v>
      </c>
      <c r="AH238" s="331">
        <f t="shared" si="64"/>
        <v>0</v>
      </c>
      <c r="AI238" s="331">
        <f t="shared" si="64"/>
        <v>0</v>
      </c>
      <c r="AJ238" s="331">
        <f t="shared" si="65"/>
        <v>0</v>
      </c>
      <c r="AK238" s="331">
        <f t="shared" si="65"/>
        <v>0</v>
      </c>
      <c r="AL238" s="331">
        <f t="shared" si="55"/>
        <v>0</v>
      </c>
      <c r="AM238" s="331">
        <f t="shared" si="48"/>
        <v>0</v>
      </c>
      <c r="AN238" s="322">
        <f t="shared" si="56"/>
        <v>0</v>
      </c>
      <c r="AO238" s="323"/>
    </row>
    <row r="239" spans="2:41" s="314" customFormat="1" ht="15.75" x14ac:dyDescent="0.25">
      <c r="B239" s="321">
        <v>2042</v>
      </c>
      <c r="C239" s="322">
        <v>0</v>
      </c>
      <c r="D239" s="322">
        <f t="shared" si="57"/>
        <v>0</v>
      </c>
      <c r="E239" s="331">
        <f t="shared" si="60"/>
        <v>3893.0679388429407</v>
      </c>
      <c r="F239" s="331">
        <f t="shared" si="60"/>
        <v>25406.470913953242</v>
      </c>
      <c r="G239" s="331">
        <f t="shared" si="61"/>
        <v>38880</v>
      </c>
      <c r="H239" s="331">
        <f t="shared" si="61"/>
        <v>11689.4445</v>
      </c>
      <c r="I239" s="347">
        <f t="shared" si="49"/>
        <v>252.92551173749993</v>
      </c>
      <c r="J239" s="331">
        <f t="shared" si="43"/>
        <v>80121.908864533689</v>
      </c>
      <c r="K239" s="322">
        <f t="shared" si="50"/>
        <v>157364.64000000004</v>
      </c>
      <c r="L239" s="323"/>
      <c r="O239" s="319"/>
      <c r="P239" s="321">
        <v>2042</v>
      </c>
      <c r="Q239" s="322">
        <v>0</v>
      </c>
      <c r="R239" s="322">
        <f t="shared" si="58"/>
        <v>0</v>
      </c>
      <c r="S239" s="331">
        <f t="shared" si="62"/>
        <v>3893.0679388429407</v>
      </c>
      <c r="T239" s="331">
        <f t="shared" si="62"/>
        <v>4164.1060784313731</v>
      </c>
      <c r="U239" s="331">
        <f t="shared" si="63"/>
        <v>0</v>
      </c>
      <c r="V239" s="331">
        <f t="shared" si="63"/>
        <v>0</v>
      </c>
      <c r="W239" s="331">
        <f t="shared" si="51"/>
        <v>0</v>
      </c>
      <c r="X239" s="331">
        <f t="shared" si="52"/>
        <v>0</v>
      </c>
      <c r="Y239" s="331">
        <f t="shared" si="53"/>
        <v>8057.1740172743139</v>
      </c>
      <c r="Z239" s="322">
        <f t="shared" si="54"/>
        <v>157364.64000000004</v>
      </c>
      <c r="AA239" s="323"/>
      <c r="AD239" s="346"/>
      <c r="AE239" s="321">
        <f t="shared" si="40"/>
        <v>2033</v>
      </c>
      <c r="AF239" s="322">
        <v>0</v>
      </c>
      <c r="AG239" s="322">
        <f t="shared" si="59"/>
        <v>0</v>
      </c>
      <c r="AH239" s="331">
        <f t="shared" si="64"/>
        <v>0</v>
      </c>
      <c r="AI239" s="331">
        <f t="shared" si="64"/>
        <v>0</v>
      </c>
      <c r="AJ239" s="331">
        <f t="shared" si="65"/>
        <v>0</v>
      </c>
      <c r="AK239" s="331">
        <f t="shared" si="65"/>
        <v>0</v>
      </c>
      <c r="AL239" s="331">
        <f t="shared" si="55"/>
        <v>0</v>
      </c>
      <c r="AM239" s="331">
        <f t="shared" si="48"/>
        <v>0</v>
      </c>
      <c r="AN239" s="322">
        <f t="shared" si="56"/>
        <v>0</v>
      </c>
      <c r="AO239" s="323"/>
    </row>
    <row r="240" spans="2:41" s="314" customFormat="1" ht="15.75" x14ac:dyDescent="0.25">
      <c r="B240" s="321">
        <v>2043</v>
      </c>
      <c r="C240" s="322">
        <v>0</v>
      </c>
      <c r="D240" s="322">
        <f t="shared" si="57"/>
        <v>0</v>
      </c>
      <c r="E240" s="331">
        <f t="shared" si="60"/>
        <v>3893.0679388429407</v>
      </c>
      <c r="F240" s="331">
        <f t="shared" si="60"/>
        <v>25406.470913953242</v>
      </c>
      <c r="G240" s="331">
        <f t="shared" si="61"/>
        <v>38880</v>
      </c>
      <c r="H240" s="331">
        <f t="shared" si="61"/>
        <v>11689.4445</v>
      </c>
      <c r="I240" s="347">
        <f t="shared" si="49"/>
        <v>252.92551173749993</v>
      </c>
      <c r="J240" s="331">
        <f t="shared" si="43"/>
        <v>80121.908864533689</v>
      </c>
      <c r="K240" s="322">
        <f t="shared" si="50"/>
        <v>157364.64000000004</v>
      </c>
      <c r="L240" s="323"/>
      <c r="O240" s="319"/>
      <c r="P240" s="321">
        <v>2043</v>
      </c>
      <c r="Q240" s="322">
        <v>0</v>
      </c>
      <c r="R240" s="322">
        <f t="shared" si="58"/>
        <v>0</v>
      </c>
      <c r="S240" s="331">
        <f t="shared" si="62"/>
        <v>3893.0679388429407</v>
      </c>
      <c r="T240" s="331">
        <f t="shared" si="62"/>
        <v>4164.1060784313731</v>
      </c>
      <c r="U240" s="331">
        <f t="shared" si="63"/>
        <v>0</v>
      </c>
      <c r="V240" s="331">
        <f t="shared" si="63"/>
        <v>0</v>
      </c>
      <c r="W240" s="331">
        <f t="shared" si="51"/>
        <v>0</v>
      </c>
      <c r="X240" s="331">
        <f t="shared" si="52"/>
        <v>0</v>
      </c>
      <c r="Y240" s="331">
        <f t="shared" si="53"/>
        <v>8057.1740172743139</v>
      </c>
      <c r="Z240" s="322">
        <f t="shared" si="54"/>
        <v>157364.64000000004</v>
      </c>
      <c r="AA240" s="323"/>
      <c r="AD240" s="346"/>
      <c r="AE240" s="321">
        <f t="shared" si="40"/>
        <v>2034</v>
      </c>
      <c r="AF240" s="322">
        <v>0</v>
      </c>
      <c r="AG240" s="322">
        <f t="shared" si="59"/>
        <v>0</v>
      </c>
      <c r="AH240" s="331">
        <f t="shared" si="64"/>
        <v>0</v>
      </c>
      <c r="AI240" s="331">
        <f t="shared" si="64"/>
        <v>0</v>
      </c>
      <c r="AJ240" s="331">
        <f t="shared" si="65"/>
        <v>0</v>
      </c>
      <c r="AK240" s="331">
        <f t="shared" si="65"/>
        <v>0</v>
      </c>
      <c r="AL240" s="331">
        <f t="shared" si="55"/>
        <v>0</v>
      </c>
      <c r="AM240" s="331">
        <f t="shared" si="48"/>
        <v>0</v>
      </c>
      <c r="AN240" s="322">
        <f t="shared" si="56"/>
        <v>0</v>
      </c>
      <c r="AO240" s="323"/>
    </row>
    <row r="241" spans="2:43" s="314" customFormat="1" ht="15.75" x14ac:dyDescent="0.25">
      <c r="B241" s="321">
        <v>2044</v>
      </c>
      <c r="C241" s="322">
        <v>0</v>
      </c>
      <c r="D241" s="322">
        <f t="shared" si="57"/>
        <v>0</v>
      </c>
      <c r="E241" s="331">
        <f t="shared" si="60"/>
        <v>3893.0679388429407</v>
      </c>
      <c r="F241" s="331">
        <f t="shared" si="60"/>
        <v>25406.470913953242</v>
      </c>
      <c r="G241" s="331">
        <f t="shared" si="61"/>
        <v>38880</v>
      </c>
      <c r="H241" s="331">
        <f t="shared" si="61"/>
        <v>11689.4445</v>
      </c>
      <c r="I241" s="347">
        <f t="shared" si="49"/>
        <v>252.92551173749993</v>
      </c>
      <c r="J241" s="331">
        <f t="shared" si="43"/>
        <v>80121.908864533689</v>
      </c>
      <c r="K241" s="322">
        <f t="shared" si="50"/>
        <v>157364.64000000004</v>
      </c>
      <c r="L241" s="323"/>
      <c r="O241" s="319"/>
      <c r="P241" s="321">
        <v>2044</v>
      </c>
      <c r="Q241" s="322">
        <v>0</v>
      </c>
      <c r="R241" s="322">
        <f t="shared" si="58"/>
        <v>0</v>
      </c>
      <c r="S241" s="331">
        <f t="shared" si="62"/>
        <v>3893.0679388429407</v>
      </c>
      <c r="T241" s="331">
        <f t="shared" si="62"/>
        <v>4164.1060784313731</v>
      </c>
      <c r="U241" s="331">
        <f t="shared" si="63"/>
        <v>0</v>
      </c>
      <c r="V241" s="331">
        <f t="shared" si="63"/>
        <v>0</v>
      </c>
      <c r="W241" s="331">
        <f t="shared" si="51"/>
        <v>0</v>
      </c>
      <c r="X241" s="331">
        <f t="shared" si="52"/>
        <v>0</v>
      </c>
      <c r="Y241" s="331">
        <f t="shared" si="53"/>
        <v>8057.1740172743139</v>
      </c>
      <c r="Z241" s="322">
        <f t="shared" si="54"/>
        <v>157364.64000000004</v>
      </c>
      <c r="AA241" s="323"/>
      <c r="AD241" s="346"/>
      <c r="AE241" s="321">
        <f t="shared" si="40"/>
        <v>2035</v>
      </c>
      <c r="AF241" s="322">
        <v>0</v>
      </c>
      <c r="AG241" s="322">
        <f t="shared" si="59"/>
        <v>0</v>
      </c>
      <c r="AH241" s="331">
        <f t="shared" si="64"/>
        <v>0</v>
      </c>
      <c r="AI241" s="331">
        <f t="shared" si="64"/>
        <v>0</v>
      </c>
      <c r="AJ241" s="331">
        <f t="shared" si="65"/>
        <v>0</v>
      </c>
      <c r="AK241" s="331">
        <f t="shared" si="65"/>
        <v>0</v>
      </c>
      <c r="AL241" s="331">
        <f t="shared" si="55"/>
        <v>0</v>
      </c>
      <c r="AM241" s="331">
        <f t="shared" si="48"/>
        <v>0</v>
      </c>
      <c r="AN241" s="322">
        <f t="shared" si="56"/>
        <v>0</v>
      </c>
      <c r="AO241" s="323"/>
    </row>
    <row r="242" spans="2:43" s="314" customFormat="1" ht="15.75" x14ac:dyDescent="0.25">
      <c r="B242" s="321">
        <v>2045</v>
      </c>
      <c r="C242" s="322">
        <v>0</v>
      </c>
      <c r="D242" s="322">
        <f t="shared" si="57"/>
        <v>0</v>
      </c>
      <c r="E242" s="331">
        <f t="shared" si="60"/>
        <v>3893.0679388429407</v>
      </c>
      <c r="F242" s="331">
        <f t="shared" si="60"/>
        <v>25406.470913953242</v>
      </c>
      <c r="G242" s="331">
        <f t="shared" si="61"/>
        <v>38880</v>
      </c>
      <c r="H242" s="331">
        <f t="shared" si="61"/>
        <v>11689.4445</v>
      </c>
      <c r="I242" s="347">
        <f t="shared" si="49"/>
        <v>252.92551173749993</v>
      </c>
      <c r="J242" s="331">
        <f t="shared" si="43"/>
        <v>80121.908864533689</v>
      </c>
      <c r="K242" s="322">
        <f t="shared" si="50"/>
        <v>157364.64000000004</v>
      </c>
      <c r="L242" s="323"/>
      <c r="O242" s="319"/>
      <c r="P242" s="321">
        <v>2045</v>
      </c>
      <c r="Q242" s="322">
        <v>0</v>
      </c>
      <c r="R242" s="322">
        <f t="shared" si="58"/>
        <v>0</v>
      </c>
      <c r="S242" s="331">
        <f t="shared" si="62"/>
        <v>3893.0679388429407</v>
      </c>
      <c r="T242" s="331">
        <f t="shared" si="62"/>
        <v>4164.1060784313731</v>
      </c>
      <c r="U242" s="331">
        <f t="shared" si="63"/>
        <v>0</v>
      </c>
      <c r="V242" s="331">
        <f t="shared" si="63"/>
        <v>0</v>
      </c>
      <c r="W242" s="331">
        <f t="shared" si="51"/>
        <v>0</v>
      </c>
      <c r="X242" s="331">
        <f t="shared" si="52"/>
        <v>0</v>
      </c>
      <c r="Y242" s="331">
        <f t="shared" si="53"/>
        <v>8057.1740172743139</v>
      </c>
      <c r="Z242" s="322">
        <f t="shared" si="54"/>
        <v>157364.64000000004</v>
      </c>
      <c r="AA242" s="323"/>
      <c r="AD242" s="346"/>
      <c r="AE242" s="321">
        <f t="shared" si="40"/>
        <v>2036</v>
      </c>
      <c r="AF242" s="322">
        <v>0</v>
      </c>
      <c r="AG242" s="322">
        <f t="shared" si="59"/>
        <v>0</v>
      </c>
      <c r="AH242" s="331">
        <f t="shared" si="64"/>
        <v>0</v>
      </c>
      <c r="AI242" s="331">
        <f t="shared" si="64"/>
        <v>0</v>
      </c>
      <c r="AJ242" s="331">
        <f t="shared" si="65"/>
        <v>0</v>
      </c>
      <c r="AK242" s="331">
        <f t="shared" si="65"/>
        <v>0</v>
      </c>
      <c r="AL242" s="331">
        <f t="shared" si="55"/>
        <v>0</v>
      </c>
      <c r="AM242" s="331">
        <f t="shared" si="48"/>
        <v>0</v>
      </c>
      <c r="AN242" s="322">
        <f t="shared" si="56"/>
        <v>0</v>
      </c>
      <c r="AO242" s="323"/>
    </row>
    <row r="243" spans="2:43" s="314" customFormat="1" ht="15.75" x14ac:dyDescent="0.25">
      <c r="B243" s="321">
        <v>2046</v>
      </c>
      <c r="C243" s="322">
        <v>0</v>
      </c>
      <c r="D243" s="322">
        <f t="shared" si="57"/>
        <v>0</v>
      </c>
      <c r="E243" s="331">
        <f t="shared" si="60"/>
        <v>3893.0679388429407</v>
      </c>
      <c r="F243" s="331">
        <f t="shared" si="60"/>
        <v>25406.470913953242</v>
      </c>
      <c r="G243" s="331">
        <f t="shared" si="61"/>
        <v>38880</v>
      </c>
      <c r="H243" s="331">
        <f t="shared" si="61"/>
        <v>11689.4445</v>
      </c>
      <c r="I243" s="347">
        <f t="shared" si="49"/>
        <v>252.92551173749993</v>
      </c>
      <c r="J243" s="331">
        <f t="shared" si="43"/>
        <v>80121.908864533689</v>
      </c>
      <c r="K243" s="322">
        <f t="shared" si="50"/>
        <v>157364.64000000004</v>
      </c>
      <c r="L243" s="323"/>
      <c r="O243" s="319"/>
      <c r="P243" s="321">
        <v>2046</v>
      </c>
      <c r="Q243" s="322">
        <v>0</v>
      </c>
      <c r="R243" s="322">
        <f t="shared" si="58"/>
        <v>0</v>
      </c>
      <c r="S243" s="331">
        <f t="shared" si="62"/>
        <v>3893.0679388429407</v>
      </c>
      <c r="T243" s="331">
        <f t="shared" si="62"/>
        <v>4164.1060784313731</v>
      </c>
      <c r="U243" s="331">
        <f t="shared" si="63"/>
        <v>0</v>
      </c>
      <c r="V243" s="331">
        <f t="shared" si="63"/>
        <v>0</v>
      </c>
      <c r="W243" s="331">
        <f t="shared" si="51"/>
        <v>0</v>
      </c>
      <c r="X243" s="331">
        <f t="shared" si="52"/>
        <v>0</v>
      </c>
      <c r="Y243" s="331">
        <f t="shared" si="53"/>
        <v>8057.1740172743139</v>
      </c>
      <c r="Z243" s="322">
        <f t="shared" si="54"/>
        <v>157364.64000000004</v>
      </c>
      <c r="AA243" s="323"/>
      <c r="AD243" s="346"/>
      <c r="AE243" s="321">
        <v>2037</v>
      </c>
      <c r="AF243" s="322">
        <v>0</v>
      </c>
      <c r="AG243" s="322">
        <f t="shared" si="59"/>
        <v>0</v>
      </c>
      <c r="AH243" s="331">
        <f t="shared" si="64"/>
        <v>0</v>
      </c>
      <c r="AI243" s="331">
        <f t="shared" si="64"/>
        <v>0</v>
      </c>
      <c r="AJ243" s="331">
        <f t="shared" si="65"/>
        <v>0</v>
      </c>
      <c r="AK243" s="331">
        <f t="shared" si="65"/>
        <v>0</v>
      </c>
      <c r="AL243" s="331">
        <f t="shared" si="55"/>
        <v>0</v>
      </c>
      <c r="AM243" s="331">
        <f t="shared" si="48"/>
        <v>0</v>
      </c>
      <c r="AN243" s="322">
        <f t="shared" si="56"/>
        <v>0</v>
      </c>
      <c r="AO243" s="323"/>
    </row>
    <row r="244" spans="2:43" s="314" customFormat="1" ht="15.75" x14ac:dyDescent="0.25">
      <c r="B244" s="321">
        <v>2047</v>
      </c>
      <c r="C244" s="322">
        <v>0</v>
      </c>
      <c r="D244" s="322">
        <f t="shared" si="57"/>
        <v>0</v>
      </c>
      <c r="E244" s="331">
        <f t="shared" si="60"/>
        <v>3893.0679388429407</v>
      </c>
      <c r="F244" s="331">
        <f t="shared" si="60"/>
        <v>25406.470913953242</v>
      </c>
      <c r="G244" s="331">
        <f t="shared" si="61"/>
        <v>38880</v>
      </c>
      <c r="H244" s="331">
        <f t="shared" si="61"/>
        <v>11689.4445</v>
      </c>
      <c r="I244" s="347">
        <f t="shared" si="49"/>
        <v>252.92551173749993</v>
      </c>
      <c r="J244" s="331">
        <f t="shared" si="43"/>
        <v>80121.908864533689</v>
      </c>
      <c r="K244" s="322">
        <f t="shared" si="50"/>
        <v>157364.64000000004</v>
      </c>
      <c r="L244" s="323"/>
      <c r="O244" s="319"/>
      <c r="P244" s="321">
        <v>2047</v>
      </c>
      <c r="Q244" s="322">
        <v>0</v>
      </c>
      <c r="R244" s="322">
        <f t="shared" si="58"/>
        <v>0</v>
      </c>
      <c r="S244" s="331">
        <f t="shared" si="62"/>
        <v>3893.0679388429407</v>
      </c>
      <c r="T244" s="331">
        <f t="shared" si="62"/>
        <v>4164.1060784313731</v>
      </c>
      <c r="U244" s="331">
        <f t="shared" si="63"/>
        <v>0</v>
      </c>
      <c r="V244" s="331">
        <f t="shared" si="63"/>
        <v>0</v>
      </c>
      <c r="W244" s="331">
        <f t="shared" si="51"/>
        <v>0</v>
      </c>
      <c r="X244" s="331">
        <f t="shared" si="52"/>
        <v>0</v>
      </c>
      <c r="Y244" s="331">
        <f t="shared" si="53"/>
        <v>8057.1740172743139</v>
      </c>
      <c r="Z244" s="322">
        <f t="shared" si="54"/>
        <v>157364.64000000004</v>
      </c>
      <c r="AA244" s="323"/>
      <c r="AD244" s="346"/>
      <c r="AE244" s="321">
        <v>2038</v>
      </c>
      <c r="AF244" s="322">
        <v>0</v>
      </c>
      <c r="AG244" s="322">
        <f t="shared" si="59"/>
        <v>0</v>
      </c>
      <c r="AH244" s="331">
        <f t="shared" si="64"/>
        <v>0</v>
      </c>
      <c r="AI244" s="331">
        <f t="shared" si="64"/>
        <v>0</v>
      </c>
      <c r="AJ244" s="331">
        <f t="shared" si="65"/>
        <v>0</v>
      </c>
      <c r="AK244" s="331">
        <f t="shared" si="65"/>
        <v>0</v>
      </c>
      <c r="AL244" s="331">
        <f t="shared" si="55"/>
        <v>0</v>
      </c>
      <c r="AM244" s="331">
        <f t="shared" si="48"/>
        <v>0</v>
      </c>
      <c r="AN244" s="322">
        <f t="shared" si="56"/>
        <v>0</v>
      </c>
      <c r="AO244" s="323"/>
    </row>
    <row r="245" spans="2:43" s="314" customFormat="1" ht="15.75" x14ac:dyDescent="0.25">
      <c r="B245" s="338" t="s">
        <v>291</v>
      </c>
      <c r="C245" s="322">
        <f>-SUM(C215:C219)+25*(SUM(C216:C219)/40)</f>
        <v>-161887.5</v>
      </c>
      <c r="D245" s="322">
        <f>-SUM(D234:D238)+6*(SUM(D234:D238)/15)</f>
        <v>-381237.78</v>
      </c>
      <c r="E245" s="322">
        <v>0</v>
      </c>
      <c r="F245" s="322">
        <v>0</v>
      </c>
      <c r="G245" s="331">
        <v>0</v>
      </c>
      <c r="H245" s="331">
        <v>0</v>
      </c>
      <c r="I245" s="331">
        <v>0</v>
      </c>
      <c r="J245" s="331">
        <f t="shared" si="43"/>
        <v>0</v>
      </c>
      <c r="K245" s="322">
        <v>0</v>
      </c>
      <c r="L245" s="323"/>
      <c r="O245" s="319"/>
      <c r="P245" s="338" t="s">
        <v>291</v>
      </c>
      <c r="Q245" s="322">
        <f>-SUM(Q215:Q219)+25*(SUM(Q216:Q219)/40)</f>
        <v>0</v>
      </c>
      <c r="R245" s="322">
        <f>-SUM(R234:R238)+6*(SUM(R234:R238)/15)</f>
        <v>0</v>
      </c>
      <c r="S245" s="322">
        <v>0</v>
      </c>
      <c r="T245" s="322">
        <v>0</v>
      </c>
      <c r="U245" s="331">
        <v>0</v>
      </c>
      <c r="V245" s="331">
        <v>0</v>
      </c>
      <c r="W245" s="331">
        <v>0</v>
      </c>
      <c r="X245" s="331"/>
      <c r="Y245" s="331">
        <f>SUM(S245:W245)</f>
        <v>0</v>
      </c>
      <c r="Z245" s="322">
        <v>0</v>
      </c>
      <c r="AA245" s="323"/>
      <c r="AD245" s="346"/>
      <c r="AE245" s="338" t="s">
        <v>261</v>
      </c>
      <c r="AF245" s="322">
        <f>-SUM(AF215:AF219)+25*(SUM(AF216:AF219)/40)</f>
        <v>0</v>
      </c>
      <c r="AG245" s="322">
        <f>-SUM(AG234:AG238)+6*(SUM(AG234:AG238)/15)</f>
        <v>0</v>
      </c>
      <c r="AH245" s="322">
        <v>0</v>
      </c>
      <c r="AI245" s="322">
        <v>0</v>
      </c>
      <c r="AJ245" s="331">
        <v>0</v>
      </c>
      <c r="AK245" s="331">
        <v>0</v>
      </c>
      <c r="AL245" s="331">
        <v>0</v>
      </c>
      <c r="AM245" s="331">
        <f t="shared" si="48"/>
        <v>0</v>
      </c>
      <c r="AN245" s="322">
        <v>0</v>
      </c>
      <c r="AO245" s="323"/>
    </row>
    <row r="246" spans="2:43" s="314" customFormat="1" ht="15.75" x14ac:dyDescent="0.25">
      <c r="B246" s="320" t="s">
        <v>292</v>
      </c>
      <c r="C246" s="339">
        <f>C215+NPV(0.04,C216:C245)</f>
        <v>337175.56136272725</v>
      </c>
      <c r="D246" s="339">
        <f>D215+NPV(0.04,D216:D245)</f>
        <v>722612.68036187009</v>
      </c>
      <c r="E246" s="339"/>
      <c r="F246" s="339"/>
      <c r="G246" s="339"/>
      <c r="H246" s="339"/>
      <c r="I246" s="339"/>
      <c r="J246" s="339">
        <f>J215+NPV(0.04,J216:J245)</f>
        <v>1069933.5016360062</v>
      </c>
      <c r="K246" s="339">
        <f>K215+NPV(0.04,K216:K245)</f>
        <v>2101418.9838332618</v>
      </c>
      <c r="L246" s="340">
        <f>+(C246+D246+J246)/K246</f>
        <v>1.0134684038476294</v>
      </c>
      <c r="O246" s="319"/>
      <c r="P246" s="320" t="s">
        <v>293</v>
      </c>
      <c r="Q246" s="339">
        <f>Q215+NPV(0.04,Q216:Q245)</f>
        <v>0</v>
      </c>
      <c r="R246" s="339">
        <f>R215+NPV(0.04,R216:R245)</f>
        <v>0</v>
      </c>
      <c r="S246" s="339"/>
      <c r="T246" s="339"/>
      <c r="U246" s="339"/>
      <c r="V246" s="339"/>
      <c r="W246" s="339"/>
      <c r="X246" s="339"/>
      <c r="Y246" s="339">
        <f>Y215+NPV(0.04,Y216:Y245)</f>
        <v>107594.04676900947</v>
      </c>
      <c r="Z246" s="339">
        <f>Z215+NPV(0.04,Z216:Z245)</f>
        <v>2101418.9838332618</v>
      </c>
      <c r="AA246" s="340">
        <f>+(Q246+R246+Y246)/Z246</f>
        <v>5.1200663740433104E-2</v>
      </c>
      <c r="AD246" s="346"/>
      <c r="AE246" s="320" t="s">
        <v>294</v>
      </c>
      <c r="AF246" s="339">
        <f>AF215+NPV(0.05,AF216:AF245)</f>
        <v>0</v>
      </c>
      <c r="AG246" s="339">
        <f>AG215+NPV(0.05,AG216:AG245)</f>
        <v>0</v>
      </c>
      <c r="AH246" s="339"/>
      <c r="AI246" s="339"/>
      <c r="AJ246" s="339"/>
      <c r="AK246" s="339"/>
      <c r="AL246" s="339"/>
      <c r="AM246" s="339">
        <f>AM215+NPV(0.05,AM216:AM245)</f>
        <v>0</v>
      </c>
      <c r="AN246" s="339">
        <f>AN215+NPV(0.05,AN216:AN245)</f>
        <v>0</v>
      </c>
      <c r="AO246" s="340" t="e">
        <f>+(AF246+AG246+AM246)/AN246</f>
        <v>#DIV/0!</v>
      </c>
    </row>
    <row r="248" spans="2:43" s="306" customFormat="1" hidden="1" x14ac:dyDescent="0.2"/>
    <row r="250" spans="2:43" ht="15" hidden="1" x14ac:dyDescent="0.25">
      <c r="B250" s="276" t="str">
        <f>B84</f>
        <v>Analysis 2</v>
      </c>
    </row>
    <row r="251" spans="2:43" hidden="1" x14ac:dyDescent="0.2"/>
    <row r="252" spans="2:43" ht="15" hidden="1" x14ac:dyDescent="0.25">
      <c r="B252" s="312" t="s">
        <v>174</v>
      </c>
      <c r="N252" s="281"/>
      <c r="O252" s="342"/>
      <c r="P252" s="312" t="s">
        <v>175</v>
      </c>
      <c r="AC252" s="281"/>
      <c r="AD252" s="342"/>
      <c r="AE252" s="312" t="s">
        <v>206</v>
      </c>
      <c r="AQ252" s="281"/>
    </row>
    <row r="253" spans="2:43" hidden="1" x14ac:dyDescent="0.2">
      <c r="N253" s="281"/>
      <c r="O253" s="343"/>
      <c r="AC253" s="281"/>
      <c r="AD253" s="343"/>
      <c r="AQ253" s="281"/>
    </row>
    <row r="254" spans="2:43" s="314" customFormat="1" ht="15.75" hidden="1" x14ac:dyDescent="0.25">
      <c r="B254" s="315" t="s">
        <v>242</v>
      </c>
      <c r="C254" s="1033" t="s">
        <v>243</v>
      </c>
      <c r="D254" s="1034"/>
      <c r="E254" s="1033" t="s">
        <v>244</v>
      </c>
      <c r="F254" s="1035"/>
      <c r="G254" s="1035"/>
      <c r="H254" s="1035"/>
      <c r="I254" s="1035"/>
      <c r="J254" s="1034"/>
      <c r="K254" s="344"/>
      <c r="L254" s="315" t="s">
        <v>245</v>
      </c>
      <c r="N254" s="319"/>
      <c r="O254" s="345"/>
      <c r="P254" s="315" t="s">
        <v>242</v>
      </c>
      <c r="Q254" s="1033" t="s">
        <v>243</v>
      </c>
      <c r="R254" s="1034"/>
      <c r="S254" s="1033" t="s">
        <v>244</v>
      </c>
      <c r="T254" s="1035"/>
      <c r="U254" s="1035"/>
      <c r="V254" s="1035"/>
      <c r="W254" s="1035"/>
      <c r="X254" s="1035"/>
      <c r="Y254" s="1034"/>
      <c r="Z254" s="344"/>
      <c r="AA254" s="315" t="s">
        <v>245</v>
      </c>
      <c r="AC254" s="319"/>
      <c r="AD254" s="345"/>
      <c r="AE254" s="315" t="s">
        <v>242</v>
      </c>
      <c r="AF254" s="1033" t="s">
        <v>243</v>
      </c>
      <c r="AG254" s="1034"/>
      <c r="AH254" s="1033" t="s">
        <v>244</v>
      </c>
      <c r="AI254" s="1035"/>
      <c r="AJ254" s="1035"/>
      <c r="AK254" s="1035"/>
      <c r="AL254" s="1035"/>
      <c r="AM254" s="1034"/>
      <c r="AN254" s="344"/>
      <c r="AO254" s="315" t="s">
        <v>245</v>
      </c>
      <c r="AQ254" s="319"/>
    </row>
    <row r="255" spans="2:43" s="314" customFormat="1" ht="15.75" hidden="1" x14ac:dyDescent="0.25">
      <c r="B255" s="320"/>
      <c r="C255" s="315" t="s">
        <v>180</v>
      </c>
      <c r="D255" s="315" t="s">
        <v>246</v>
      </c>
      <c r="E255" s="315" t="s">
        <v>247</v>
      </c>
      <c r="F255" s="315" t="s">
        <v>248</v>
      </c>
      <c r="G255" s="315" t="s">
        <v>249</v>
      </c>
      <c r="H255" s="315" t="s">
        <v>250</v>
      </c>
      <c r="I255" s="315" t="s">
        <v>275</v>
      </c>
      <c r="J255" s="315" t="s">
        <v>251</v>
      </c>
      <c r="K255" s="315" t="s">
        <v>252</v>
      </c>
      <c r="L255" s="315" t="s">
        <v>253</v>
      </c>
      <c r="O255" s="346"/>
      <c r="P255" s="320"/>
      <c r="Q255" s="315" t="s">
        <v>180</v>
      </c>
      <c r="R255" s="315" t="s">
        <v>246</v>
      </c>
      <c r="S255" s="315" t="s">
        <v>247</v>
      </c>
      <c r="T255" s="315" t="s">
        <v>248</v>
      </c>
      <c r="U255" s="315" t="s">
        <v>249</v>
      </c>
      <c r="V255" s="315" t="s">
        <v>250</v>
      </c>
      <c r="W255" s="315" t="s">
        <v>275</v>
      </c>
      <c r="X255" s="315"/>
      <c r="Y255" s="315" t="s">
        <v>251</v>
      </c>
      <c r="Z255" s="315" t="s">
        <v>252</v>
      </c>
      <c r="AA255" s="315" t="s">
        <v>253</v>
      </c>
      <c r="AD255" s="346"/>
      <c r="AE255" s="320"/>
      <c r="AF255" s="315" t="s">
        <v>180</v>
      </c>
      <c r="AG255" s="315" t="s">
        <v>246</v>
      </c>
      <c r="AH255" s="315" t="s">
        <v>247</v>
      </c>
      <c r="AI255" s="315" t="s">
        <v>248</v>
      </c>
      <c r="AJ255" s="315" t="s">
        <v>249</v>
      </c>
      <c r="AK255" s="315" t="s">
        <v>250</v>
      </c>
      <c r="AL255" s="315" t="s">
        <v>275</v>
      </c>
      <c r="AM255" s="315" t="s">
        <v>251</v>
      </c>
      <c r="AN255" s="315" t="s">
        <v>252</v>
      </c>
      <c r="AO255" s="315" t="s">
        <v>253</v>
      </c>
    </row>
    <row r="256" spans="2:43" s="314" customFormat="1" ht="15.75" hidden="1" x14ac:dyDescent="0.25">
      <c r="B256" s="320"/>
      <c r="C256" s="320"/>
      <c r="D256" s="315" t="s">
        <v>254</v>
      </c>
      <c r="E256" s="315" t="s">
        <v>255</v>
      </c>
      <c r="F256" s="315" t="s">
        <v>255</v>
      </c>
      <c r="G256" s="315" t="s">
        <v>255</v>
      </c>
      <c r="H256" s="315" t="s">
        <v>255</v>
      </c>
      <c r="I256" s="315" t="s">
        <v>286</v>
      </c>
      <c r="J256" s="315" t="s">
        <v>256</v>
      </c>
      <c r="K256" s="315" t="s">
        <v>287</v>
      </c>
      <c r="L256" s="315" t="s">
        <v>258</v>
      </c>
      <c r="O256" s="346"/>
      <c r="P256" s="320"/>
      <c r="Q256" s="320"/>
      <c r="R256" s="315" t="s">
        <v>254</v>
      </c>
      <c r="S256" s="315" t="s">
        <v>255</v>
      </c>
      <c r="T256" s="315" t="s">
        <v>255</v>
      </c>
      <c r="U256" s="315" t="s">
        <v>255</v>
      </c>
      <c r="V256" s="315" t="s">
        <v>255</v>
      </c>
      <c r="W256" s="315" t="s">
        <v>286</v>
      </c>
      <c r="X256" s="315"/>
      <c r="Y256" s="315" t="s">
        <v>256</v>
      </c>
      <c r="Z256" s="315" t="s">
        <v>287</v>
      </c>
      <c r="AA256" s="315" t="s">
        <v>258</v>
      </c>
      <c r="AD256" s="346"/>
      <c r="AE256" s="320"/>
      <c r="AF256" s="320"/>
      <c r="AG256" s="315" t="s">
        <v>254</v>
      </c>
      <c r="AH256" s="315" t="s">
        <v>255</v>
      </c>
      <c r="AI256" s="315" t="s">
        <v>255</v>
      </c>
      <c r="AJ256" s="315" t="s">
        <v>255</v>
      </c>
      <c r="AK256" s="315" t="s">
        <v>255</v>
      </c>
      <c r="AL256" s="315" t="s">
        <v>286</v>
      </c>
      <c r="AM256" s="315" t="s">
        <v>256</v>
      </c>
      <c r="AN256" s="315" t="s">
        <v>287</v>
      </c>
      <c r="AO256" s="315" t="s">
        <v>258</v>
      </c>
    </row>
    <row r="257" spans="2:43" s="314" customFormat="1" ht="15.75" hidden="1" x14ac:dyDescent="0.25">
      <c r="B257" s="320"/>
      <c r="C257" s="320"/>
      <c r="D257" s="320"/>
      <c r="E257" s="320"/>
      <c r="F257" s="320"/>
      <c r="G257" s="320"/>
      <c r="H257" s="320"/>
      <c r="I257" s="315" t="s">
        <v>255</v>
      </c>
      <c r="J257" s="315" t="s">
        <v>258</v>
      </c>
      <c r="K257" s="315" t="s">
        <v>195</v>
      </c>
      <c r="L257" s="315" t="s">
        <v>259</v>
      </c>
      <c r="O257" s="346"/>
      <c r="P257" s="320"/>
      <c r="Q257" s="320"/>
      <c r="R257" s="320"/>
      <c r="S257" s="320"/>
      <c r="T257" s="320"/>
      <c r="U257" s="320"/>
      <c r="V257" s="320"/>
      <c r="W257" s="315" t="s">
        <v>255</v>
      </c>
      <c r="X257" s="315"/>
      <c r="Y257" s="315" t="s">
        <v>258</v>
      </c>
      <c r="Z257" s="315" t="s">
        <v>195</v>
      </c>
      <c r="AA257" s="315" t="s">
        <v>259</v>
      </c>
      <c r="AD257" s="346"/>
      <c r="AE257" s="320"/>
      <c r="AF257" s="320"/>
      <c r="AG257" s="320"/>
      <c r="AH257" s="320"/>
      <c r="AI257" s="320"/>
      <c r="AJ257" s="320"/>
      <c r="AK257" s="320"/>
      <c r="AL257" s="315" t="s">
        <v>255</v>
      </c>
      <c r="AM257" s="315" t="s">
        <v>258</v>
      </c>
      <c r="AN257" s="315" t="s">
        <v>195</v>
      </c>
      <c r="AO257" s="315" t="s">
        <v>259</v>
      </c>
    </row>
    <row r="258" spans="2:43" s="314" customFormat="1" ht="15.75" hidden="1" x14ac:dyDescent="0.25">
      <c r="B258" s="320"/>
      <c r="C258" s="315" t="s">
        <v>179</v>
      </c>
      <c r="D258" s="315" t="s">
        <v>179</v>
      </c>
      <c r="E258" s="315" t="s">
        <v>179</v>
      </c>
      <c r="F258" s="315" t="s">
        <v>179</v>
      </c>
      <c r="G258" s="315" t="s">
        <v>179</v>
      </c>
      <c r="H258" s="315" t="s">
        <v>179</v>
      </c>
      <c r="I258" s="315" t="s">
        <v>179</v>
      </c>
      <c r="J258" s="315" t="s">
        <v>179</v>
      </c>
      <c r="K258" s="315" t="s">
        <v>183</v>
      </c>
      <c r="L258" s="315" t="s">
        <v>260</v>
      </c>
      <c r="O258" s="346"/>
      <c r="P258" s="320"/>
      <c r="Q258" s="315" t="s">
        <v>179</v>
      </c>
      <c r="R258" s="315" t="s">
        <v>179</v>
      </c>
      <c r="S258" s="315" t="s">
        <v>179</v>
      </c>
      <c r="T258" s="315" t="s">
        <v>179</v>
      </c>
      <c r="U258" s="315" t="s">
        <v>179</v>
      </c>
      <c r="V258" s="315" t="s">
        <v>179</v>
      </c>
      <c r="W258" s="315" t="s">
        <v>179</v>
      </c>
      <c r="X258" s="315"/>
      <c r="Y258" s="315" t="s">
        <v>179</v>
      </c>
      <c r="Z258" s="315" t="s">
        <v>183</v>
      </c>
      <c r="AA258" s="315" t="s">
        <v>260</v>
      </c>
      <c r="AD258" s="346"/>
      <c r="AE258" s="320"/>
      <c r="AF258" s="315" t="s">
        <v>179</v>
      </c>
      <c r="AG258" s="315" t="s">
        <v>179</v>
      </c>
      <c r="AH258" s="315" t="s">
        <v>179</v>
      </c>
      <c r="AI258" s="315" t="s">
        <v>179</v>
      </c>
      <c r="AJ258" s="315" t="s">
        <v>179</v>
      </c>
      <c r="AK258" s="315" t="s">
        <v>179</v>
      </c>
      <c r="AL258" s="315" t="s">
        <v>179</v>
      </c>
      <c r="AM258" s="315" t="s">
        <v>179</v>
      </c>
      <c r="AN258" s="315" t="s">
        <v>183</v>
      </c>
      <c r="AO258" s="315" t="s">
        <v>260</v>
      </c>
    </row>
    <row r="259" spans="2:43" s="314" customFormat="1" ht="15.75" hidden="1" x14ac:dyDescent="0.25">
      <c r="B259" s="321">
        <v>2015</v>
      </c>
      <c r="C259" s="322">
        <v>0</v>
      </c>
      <c r="D259" s="322">
        <v>0</v>
      </c>
      <c r="E259" s="322"/>
      <c r="F259" s="322"/>
      <c r="G259" s="322"/>
      <c r="H259" s="322"/>
      <c r="I259" s="322"/>
      <c r="J259" s="322">
        <f>SUM(E259:G259)</f>
        <v>0</v>
      </c>
      <c r="K259" s="322">
        <v>0</v>
      </c>
      <c r="L259" s="323"/>
      <c r="M259" s="324"/>
      <c r="N259" s="325"/>
      <c r="O259" s="346"/>
      <c r="P259" s="321">
        <v>2015</v>
      </c>
      <c r="Q259" s="322">
        <v>0</v>
      </c>
      <c r="R259" s="322">
        <v>0</v>
      </c>
      <c r="S259" s="322"/>
      <c r="T259" s="322"/>
      <c r="U259" s="322"/>
      <c r="V259" s="322"/>
      <c r="W259" s="322"/>
      <c r="X259" s="322"/>
      <c r="Y259" s="322">
        <f>SUM(S259:U259)</f>
        <v>0</v>
      </c>
      <c r="Z259" s="322">
        <v>0</v>
      </c>
      <c r="AA259" s="323"/>
      <c r="AB259" s="324"/>
      <c r="AC259" s="325"/>
      <c r="AD259" s="346"/>
      <c r="AE259" s="321">
        <v>2009</v>
      </c>
      <c r="AF259" s="322">
        <v>0</v>
      </c>
      <c r="AG259" s="322">
        <v>0</v>
      </c>
      <c r="AH259" s="322"/>
      <c r="AI259" s="322"/>
      <c r="AJ259" s="322"/>
      <c r="AK259" s="322"/>
      <c r="AL259" s="322"/>
      <c r="AM259" s="322">
        <f>SUM(AH259:AJ259)</f>
        <v>0</v>
      </c>
      <c r="AN259" s="322">
        <v>0</v>
      </c>
      <c r="AO259" s="323"/>
      <c r="AP259" s="324"/>
      <c r="AQ259" s="325"/>
    </row>
    <row r="260" spans="2:43" s="314" customFormat="1" ht="15.75" hidden="1" x14ac:dyDescent="0.25">
      <c r="B260" s="321">
        <f t="shared" ref="B260:B286" si="66">+B259+1</f>
        <v>2016</v>
      </c>
      <c r="C260" s="328">
        <f>D$87*M260</f>
        <v>0</v>
      </c>
      <c r="D260" s="328">
        <f>D$88*M260</f>
        <v>0</v>
      </c>
      <c r="E260" s="322"/>
      <c r="F260" s="322"/>
      <c r="G260" s="322"/>
      <c r="H260" s="322"/>
      <c r="I260" s="322"/>
      <c r="J260" s="322">
        <f>SUM(E260:G260)</f>
        <v>0</v>
      </c>
      <c r="K260" s="322">
        <f>K259</f>
        <v>0</v>
      </c>
      <c r="L260" s="323"/>
      <c r="M260" s="329">
        <v>0.1</v>
      </c>
      <c r="N260" s="325"/>
      <c r="O260" s="346"/>
      <c r="P260" s="321">
        <f t="shared" ref="P260:P286" si="67">+P259+1</f>
        <v>2016</v>
      </c>
      <c r="Q260" s="328">
        <f>E$87*AB260</f>
        <v>0</v>
      </c>
      <c r="R260" s="328">
        <f>E$88*AB260</f>
        <v>0</v>
      </c>
      <c r="S260" s="322"/>
      <c r="T260" s="322"/>
      <c r="U260" s="322"/>
      <c r="V260" s="322"/>
      <c r="W260" s="322"/>
      <c r="X260" s="322"/>
      <c r="Y260" s="322">
        <f>SUM(S260:U260)</f>
        <v>0</v>
      </c>
      <c r="Z260" s="322">
        <f>Z259</f>
        <v>0</v>
      </c>
      <c r="AA260" s="323"/>
      <c r="AB260" s="329">
        <v>0.1</v>
      </c>
      <c r="AC260" s="325"/>
      <c r="AD260" s="346"/>
      <c r="AE260" s="321">
        <f t="shared" ref="AE260:AE286" si="68">+AE259+1</f>
        <v>2010</v>
      </c>
      <c r="AF260" s="328">
        <f>F$87*AP260</f>
        <v>0</v>
      </c>
      <c r="AG260" s="328">
        <f>F$88*AP260</f>
        <v>0</v>
      </c>
      <c r="AH260" s="322"/>
      <c r="AI260" s="322"/>
      <c r="AJ260" s="322"/>
      <c r="AK260" s="322"/>
      <c r="AL260" s="322"/>
      <c r="AM260" s="322">
        <f>SUM(AH260:AJ260)</f>
        <v>0</v>
      </c>
      <c r="AN260" s="322">
        <f>AN259</f>
        <v>0</v>
      </c>
      <c r="AO260" s="323"/>
      <c r="AP260" s="329">
        <v>0.1</v>
      </c>
      <c r="AQ260" s="325"/>
    </row>
    <row r="261" spans="2:43" s="314" customFormat="1" ht="15.75" hidden="1" x14ac:dyDescent="0.25">
      <c r="B261" s="321">
        <f t="shared" si="66"/>
        <v>2017</v>
      </c>
      <c r="C261" s="328">
        <f>D$87*M261</f>
        <v>0</v>
      </c>
      <c r="D261" s="328">
        <f>D$88*M261</f>
        <v>0</v>
      </c>
      <c r="E261" s="331"/>
      <c r="F261" s="331"/>
      <c r="G261" s="331"/>
      <c r="H261" s="331"/>
      <c r="I261" s="331"/>
      <c r="J261" s="331">
        <f>SUM(E261:G261)</f>
        <v>0</v>
      </c>
      <c r="K261" s="322">
        <f>K260</f>
        <v>0</v>
      </c>
      <c r="L261" s="323"/>
      <c r="M261" s="329">
        <v>0.3</v>
      </c>
      <c r="N261" s="332"/>
      <c r="O261" s="346"/>
      <c r="P261" s="321">
        <f t="shared" si="67"/>
        <v>2017</v>
      </c>
      <c r="Q261" s="328">
        <f>E$87*AB261</f>
        <v>0</v>
      </c>
      <c r="R261" s="328">
        <f>E$88*AB261</f>
        <v>0</v>
      </c>
      <c r="S261" s="331"/>
      <c r="T261" s="331"/>
      <c r="U261" s="331"/>
      <c r="V261" s="331"/>
      <c r="W261" s="331"/>
      <c r="X261" s="331"/>
      <c r="Y261" s="331">
        <f>SUM(S261:U261)</f>
        <v>0</v>
      </c>
      <c r="Z261" s="322">
        <f>Z260</f>
        <v>0</v>
      </c>
      <c r="AA261" s="323"/>
      <c r="AB261" s="329">
        <v>0.3</v>
      </c>
      <c r="AC261" s="332"/>
      <c r="AD261" s="346"/>
      <c r="AE261" s="321">
        <f t="shared" si="68"/>
        <v>2011</v>
      </c>
      <c r="AF261" s="328">
        <f>F$87*AP261</f>
        <v>0</v>
      </c>
      <c r="AG261" s="328">
        <f>F$88*AP261</f>
        <v>0</v>
      </c>
      <c r="AH261" s="331"/>
      <c r="AI261" s="331"/>
      <c r="AJ261" s="331"/>
      <c r="AK261" s="331"/>
      <c r="AL261" s="331"/>
      <c r="AM261" s="331">
        <f>SUM(AH261:AJ261)</f>
        <v>0</v>
      </c>
      <c r="AN261" s="322">
        <f>AN260</f>
        <v>0</v>
      </c>
      <c r="AO261" s="323"/>
      <c r="AP261" s="329">
        <v>0.3</v>
      </c>
      <c r="AQ261" s="332"/>
    </row>
    <row r="262" spans="2:43" s="314" customFormat="1" ht="15.75" hidden="1" x14ac:dyDescent="0.25">
      <c r="B262" s="321">
        <f t="shared" si="66"/>
        <v>2018</v>
      </c>
      <c r="C262" s="328">
        <f>D$87*M262</f>
        <v>0</v>
      </c>
      <c r="D262" s="328">
        <f>D$88*M262</f>
        <v>0</v>
      </c>
      <c r="E262" s="331"/>
      <c r="F262" s="331"/>
      <c r="G262" s="331"/>
      <c r="H262" s="331"/>
      <c r="I262" s="331"/>
      <c r="J262" s="331">
        <f>SUM(E262:G262)</f>
        <v>0</v>
      </c>
      <c r="K262" s="322">
        <f>K261</f>
        <v>0</v>
      </c>
      <c r="L262" s="323"/>
      <c r="M262" s="329">
        <v>0.3</v>
      </c>
      <c r="O262" s="346"/>
      <c r="P262" s="321">
        <f t="shared" si="67"/>
        <v>2018</v>
      </c>
      <c r="Q262" s="328">
        <f>E$87*AB262</f>
        <v>0</v>
      </c>
      <c r="R262" s="328">
        <f>E$88*AB262</f>
        <v>0</v>
      </c>
      <c r="S262" s="331"/>
      <c r="T262" s="331"/>
      <c r="U262" s="331"/>
      <c r="V262" s="331"/>
      <c r="W262" s="331"/>
      <c r="X262" s="331"/>
      <c r="Y262" s="331">
        <f>SUM(S262:U262)</f>
        <v>0</v>
      </c>
      <c r="Z262" s="322">
        <f>Z261</f>
        <v>0</v>
      </c>
      <c r="AA262" s="323"/>
      <c r="AB262" s="329">
        <v>0.3</v>
      </c>
      <c r="AD262" s="346"/>
      <c r="AE262" s="321">
        <f t="shared" si="68"/>
        <v>2012</v>
      </c>
      <c r="AF262" s="328">
        <f>F$87*AP262</f>
        <v>0</v>
      </c>
      <c r="AG262" s="328">
        <f>F$88*AP262</f>
        <v>0</v>
      </c>
      <c r="AH262" s="331"/>
      <c r="AI262" s="331"/>
      <c r="AJ262" s="331"/>
      <c r="AK262" s="331"/>
      <c r="AL262" s="331"/>
      <c r="AM262" s="331">
        <f>SUM(AH262:AJ262)</f>
        <v>0</v>
      </c>
      <c r="AN262" s="322">
        <f>AN261</f>
        <v>0</v>
      </c>
      <c r="AO262" s="323"/>
      <c r="AP262" s="329">
        <v>0.3</v>
      </c>
    </row>
    <row r="263" spans="2:43" s="314" customFormat="1" ht="15.75" hidden="1" x14ac:dyDescent="0.25">
      <c r="B263" s="321">
        <f t="shared" si="66"/>
        <v>2019</v>
      </c>
      <c r="C263" s="328">
        <f>D$87*M263</f>
        <v>0</v>
      </c>
      <c r="D263" s="328">
        <f>D$88*M263</f>
        <v>0</v>
      </c>
      <c r="E263" s="331"/>
      <c r="F263" s="331"/>
      <c r="G263" s="331"/>
      <c r="H263" s="331"/>
      <c r="I263" s="331"/>
      <c r="J263" s="331">
        <f>SUM(E263:G263)</f>
        <v>0</v>
      </c>
      <c r="K263" s="322">
        <f>K262</f>
        <v>0</v>
      </c>
      <c r="L263" s="323"/>
      <c r="M263" s="329">
        <v>0.3</v>
      </c>
      <c r="O263" s="346"/>
      <c r="P263" s="321">
        <f t="shared" si="67"/>
        <v>2019</v>
      </c>
      <c r="Q263" s="328">
        <f>E$87*AB263</f>
        <v>0</v>
      </c>
      <c r="R263" s="328">
        <f>E$88*AB263</f>
        <v>0</v>
      </c>
      <c r="S263" s="331"/>
      <c r="T263" s="331"/>
      <c r="U263" s="331"/>
      <c r="V263" s="331"/>
      <c r="W263" s="331"/>
      <c r="X263" s="331"/>
      <c r="Y263" s="331">
        <f>SUM(S263:U263)</f>
        <v>0</v>
      </c>
      <c r="Z263" s="322">
        <f>Z262</f>
        <v>0</v>
      </c>
      <c r="AA263" s="323"/>
      <c r="AB263" s="329">
        <v>0.3</v>
      </c>
      <c r="AD263" s="346"/>
      <c r="AE263" s="321">
        <f t="shared" si="68"/>
        <v>2013</v>
      </c>
      <c r="AF263" s="328">
        <f>F$87*AP263</f>
        <v>0</v>
      </c>
      <c r="AG263" s="328">
        <f>F$88*AP263</f>
        <v>0</v>
      </c>
      <c r="AH263" s="331"/>
      <c r="AI263" s="331"/>
      <c r="AJ263" s="331"/>
      <c r="AK263" s="331"/>
      <c r="AL263" s="331"/>
      <c r="AM263" s="331">
        <f>SUM(AH263:AJ263)</f>
        <v>0</v>
      </c>
      <c r="AN263" s="322">
        <f>AN262</f>
        <v>0</v>
      </c>
      <c r="AO263" s="323"/>
      <c r="AP263" s="329">
        <v>0.3</v>
      </c>
    </row>
    <row r="264" spans="2:43" s="314" customFormat="1" ht="15.75" hidden="1" x14ac:dyDescent="0.25">
      <c r="B264" s="321">
        <f t="shared" si="66"/>
        <v>2020</v>
      </c>
      <c r="C264" s="322">
        <v>0</v>
      </c>
      <c r="D264" s="322">
        <v>0</v>
      </c>
      <c r="E264" s="328">
        <f>D93</f>
        <v>0</v>
      </c>
      <c r="F264" s="328">
        <f>D98</f>
        <v>0</v>
      </c>
      <c r="G264" s="328">
        <f>D94</f>
        <v>0</v>
      </c>
      <c r="H264" s="328">
        <f>D101</f>
        <v>0</v>
      </c>
      <c r="I264" s="328">
        <f>D104</f>
        <v>0</v>
      </c>
      <c r="J264" s="331">
        <f>SUM(E264:I264)</f>
        <v>0</v>
      </c>
      <c r="K264" s="328">
        <f>D90</f>
        <v>0</v>
      </c>
      <c r="L264" s="323"/>
      <c r="M264" s="333">
        <f>SUM(M260:M263)</f>
        <v>1</v>
      </c>
      <c r="N264" s="332">
        <f>J264-D107</f>
        <v>0</v>
      </c>
      <c r="O264" s="346"/>
      <c r="P264" s="321">
        <f t="shared" si="67"/>
        <v>2020</v>
      </c>
      <c r="Q264" s="322">
        <v>0</v>
      </c>
      <c r="R264" s="322">
        <v>0</v>
      </c>
      <c r="S264" s="328">
        <f>E93</f>
        <v>0</v>
      </c>
      <c r="T264" s="328">
        <f>E98</f>
        <v>0</v>
      </c>
      <c r="U264" s="328">
        <f>E94</f>
        <v>0</v>
      </c>
      <c r="V264" s="328">
        <f>E101</f>
        <v>0</v>
      </c>
      <c r="W264" s="328">
        <f>E104</f>
        <v>0</v>
      </c>
      <c r="X264" s="328"/>
      <c r="Y264" s="331">
        <f>SUM(S264:W264)</f>
        <v>0</v>
      </c>
      <c r="Z264" s="328">
        <f>E90</f>
        <v>0</v>
      </c>
      <c r="AA264" s="323"/>
      <c r="AB264" s="333">
        <f>SUM(AB260:AB263)</f>
        <v>1</v>
      </c>
      <c r="AC264" s="332">
        <f>Y264-E107</f>
        <v>0</v>
      </c>
      <c r="AD264" s="346"/>
      <c r="AE264" s="321">
        <f t="shared" si="68"/>
        <v>2014</v>
      </c>
      <c r="AF264" s="322">
        <v>0</v>
      </c>
      <c r="AG264" s="322">
        <v>0</v>
      </c>
      <c r="AH264" s="328">
        <f>F93</f>
        <v>0</v>
      </c>
      <c r="AI264" s="328">
        <f>F98</f>
        <v>0</v>
      </c>
      <c r="AJ264" s="328">
        <f>F94</f>
        <v>0</v>
      </c>
      <c r="AK264" s="328">
        <f>F101</f>
        <v>0</v>
      </c>
      <c r="AL264" s="328">
        <f>F104</f>
        <v>0</v>
      </c>
      <c r="AM264" s="331">
        <f>SUM(AH264:AL264)</f>
        <v>0</v>
      </c>
      <c r="AN264" s="328">
        <f>F90</f>
        <v>0</v>
      </c>
      <c r="AO264" s="323"/>
      <c r="AP264" s="333">
        <f>SUM(AP260:AP263)</f>
        <v>1</v>
      </c>
      <c r="AQ264" s="332">
        <f>AM264-F107</f>
        <v>0</v>
      </c>
    </row>
    <row r="265" spans="2:43" s="314" customFormat="1" ht="15.75" hidden="1" x14ac:dyDescent="0.25">
      <c r="B265" s="321">
        <f t="shared" si="66"/>
        <v>2021</v>
      </c>
      <c r="C265" s="322">
        <v>0</v>
      </c>
      <c r="D265" s="322">
        <v>0</v>
      </c>
      <c r="E265" s="331" t="e">
        <f t="shared" ref="E265:F280" si="69">E264*$K265/$K264</f>
        <v>#DIV/0!</v>
      </c>
      <c r="F265" s="331" t="e">
        <f t="shared" si="69"/>
        <v>#DIV/0!</v>
      </c>
      <c r="G265" s="331">
        <f t="shared" ref="G265:H280" si="70">G264</f>
        <v>0</v>
      </c>
      <c r="H265" s="331">
        <f>H264</f>
        <v>0</v>
      </c>
      <c r="I265" s="335" t="e">
        <f>I264*$K265/$K264</f>
        <v>#DIV/0!</v>
      </c>
      <c r="J265" s="331" t="e">
        <f t="shared" ref="J265:J289" si="71">SUM(E265:I265)</f>
        <v>#DIV/0!</v>
      </c>
      <c r="K265" s="322">
        <f>K264</f>
        <v>0</v>
      </c>
      <c r="L265" s="323"/>
      <c r="N265" s="332"/>
      <c r="O265" s="346"/>
      <c r="P265" s="321">
        <f t="shared" si="67"/>
        <v>2021</v>
      </c>
      <c r="Q265" s="322">
        <v>0</v>
      </c>
      <c r="R265" s="322">
        <v>0</v>
      </c>
      <c r="S265" s="331" t="e">
        <f t="shared" ref="S265:T280" si="72">S264*$K265/$K264</f>
        <v>#DIV/0!</v>
      </c>
      <c r="T265" s="331" t="e">
        <f t="shared" si="72"/>
        <v>#DIV/0!</v>
      </c>
      <c r="U265" s="331">
        <f t="shared" ref="U265:V280" si="73">U264</f>
        <v>0</v>
      </c>
      <c r="V265" s="331">
        <f>V264</f>
        <v>0</v>
      </c>
      <c r="W265" s="331" t="e">
        <f>W264*$K265/$K264</f>
        <v>#DIV/0!</v>
      </c>
      <c r="X265" s="331"/>
      <c r="Y265" s="331" t="e">
        <f t="shared" ref="Y265:Y289" si="74">SUM(S265:W265)</f>
        <v>#DIV/0!</v>
      </c>
      <c r="Z265" s="322">
        <f>Z264</f>
        <v>0</v>
      </c>
      <c r="AA265" s="323"/>
      <c r="AC265" s="332"/>
      <c r="AD265" s="346"/>
      <c r="AE265" s="321">
        <f t="shared" si="68"/>
        <v>2015</v>
      </c>
      <c r="AF265" s="322">
        <v>0</v>
      </c>
      <c r="AG265" s="322">
        <v>0</v>
      </c>
      <c r="AH265" s="331" t="e">
        <f t="shared" ref="AH265:AI280" si="75">AH264*$K265/$K264</f>
        <v>#DIV/0!</v>
      </c>
      <c r="AI265" s="331" t="e">
        <f t="shared" si="75"/>
        <v>#DIV/0!</v>
      </c>
      <c r="AJ265" s="331">
        <f t="shared" ref="AJ265:AK280" si="76">AJ264</f>
        <v>0</v>
      </c>
      <c r="AK265" s="331">
        <f>AK264</f>
        <v>0</v>
      </c>
      <c r="AL265" s="331" t="e">
        <f>AL264*$K265/$K264</f>
        <v>#DIV/0!</v>
      </c>
      <c r="AM265" s="331" t="e">
        <f t="shared" ref="AM265:AM289" si="77">SUM(AH265:AL265)</f>
        <v>#DIV/0!</v>
      </c>
      <c r="AN265" s="322">
        <f>AN264</f>
        <v>0</v>
      </c>
      <c r="AO265" s="323"/>
      <c r="AQ265" s="332"/>
    </row>
    <row r="266" spans="2:43" s="314" customFormat="1" ht="15.75" hidden="1" x14ac:dyDescent="0.25">
      <c r="B266" s="321">
        <f t="shared" si="66"/>
        <v>2022</v>
      </c>
      <c r="C266" s="322">
        <v>0</v>
      </c>
      <c r="D266" s="322">
        <v>0</v>
      </c>
      <c r="E266" s="331" t="e">
        <f t="shared" si="69"/>
        <v>#DIV/0!</v>
      </c>
      <c r="F266" s="335" t="e">
        <f t="shared" si="69"/>
        <v>#DIV/0!</v>
      </c>
      <c r="G266" s="331">
        <f t="shared" si="70"/>
        <v>0</v>
      </c>
      <c r="H266" s="331">
        <f t="shared" si="70"/>
        <v>0</v>
      </c>
      <c r="I266" s="335" t="e">
        <f t="shared" ref="I266:I288" si="78">I265*$K266/$K265</f>
        <v>#DIV/0!</v>
      </c>
      <c r="J266" s="331" t="e">
        <f t="shared" si="71"/>
        <v>#DIV/0!</v>
      </c>
      <c r="K266" s="322">
        <f t="shared" ref="K266:K288" si="79">K265</f>
        <v>0</v>
      </c>
      <c r="L266" s="323"/>
      <c r="N266" s="332"/>
      <c r="O266" s="346"/>
      <c r="P266" s="321">
        <f t="shared" si="67"/>
        <v>2022</v>
      </c>
      <c r="Q266" s="322">
        <v>0</v>
      </c>
      <c r="R266" s="322">
        <v>0</v>
      </c>
      <c r="S266" s="331" t="e">
        <f t="shared" si="72"/>
        <v>#DIV/0!</v>
      </c>
      <c r="T266" s="335" t="e">
        <f t="shared" si="72"/>
        <v>#DIV/0!</v>
      </c>
      <c r="U266" s="331">
        <f t="shared" si="73"/>
        <v>0</v>
      </c>
      <c r="V266" s="331">
        <f t="shared" si="73"/>
        <v>0</v>
      </c>
      <c r="W266" s="331" t="e">
        <f t="shared" ref="W266:W288" si="80">W265*$K266/$K265</f>
        <v>#DIV/0!</v>
      </c>
      <c r="X266" s="331"/>
      <c r="Y266" s="331" t="e">
        <f t="shared" si="74"/>
        <v>#DIV/0!</v>
      </c>
      <c r="Z266" s="322">
        <f t="shared" ref="Z266:Z288" si="81">Z265</f>
        <v>0</v>
      </c>
      <c r="AA266" s="323"/>
      <c r="AC266" s="332"/>
      <c r="AD266" s="346"/>
      <c r="AE266" s="321">
        <f t="shared" si="68"/>
        <v>2016</v>
      </c>
      <c r="AF266" s="322">
        <v>0</v>
      </c>
      <c r="AG266" s="322">
        <v>0</v>
      </c>
      <c r="AH266" s="331" t="e">
        <f t="shared" si="75"/>
        <v>#DIV/0!</v>
      </c>
      <c r="AI266" s="331" t="e">
        <f t="shared" si="75"/>
        <v>#DIV/0!</v>
      </c>
      <c r="AJ266" s="331">
        <f t="shared" si="76"/>
        <v>0</v>
      </c>
      <c r="AK266" s="331">
        <f t="shared" si="76"/>
        <v>0</v>
      </c>
      <c r="AL266" s="331" t="e">
        <f t="shared" ref="AL266:AL288" si="82">AL265*$K266/$K265</f>
        <v>#DIV/0!</v>
      </c>
      <c r="AM266" s="331" t="e">
        <f t="shared" si="77"/>
        <v>#DIV/0!</v>
      </c>
      <c r="AN266" s="322">
        <f t="shared" ref="AN266:AN288" si="83">AN265</f>
        <v>0</v>
      </c>
      <c r="AO266" s="323"/>
      <c r="AQ266" s="332"/>
    </row>
    <row r="267" spans="2:43" s="314" customFormat="1" ht="15.75" hidden="1" x14ac:dyDescent="0.25">
      <c r="B267" s="321">
        <f t="shared" si="66"/>
        <v>2023</v>
      </c>
      <c r="C267" s="322">
        <v>0</v>
      </c>
      <c r="D267" s="322">
        <v>0</v>
      </c>
      <c r="E267" s="331" t="e">
        <f t="shared" si="69"/>
        <v>#DIV/0!</v>
      </c>
      <c r="F267" s="331" t="e">
        <f t="shared" si="69"/>
        <v>#DIV/0!</v>
      </c>
      <c r="G267" s="331">
        <f t="shared" si="70"/>
        <v>0</v>
      </c>
      <c r="H267" s="331">
        <f t="shared" si="70"/>
        <v>0</v>
      </c>
      <c r="I267" s="335" t="e">
        <f t="shared" si="78"/>
        <v>#DIV/0!</v>
      </c>
      <c r="J267" s="331" t="e">
        <f t="shared" si="71"/>
        <v>#DIV/0!</v>
      </c>
      <c r="K267" s="322">
        <f t="shared" si="79"/>
        <v>0</v>
      </c>
      <c r="L267" s="323"/>
      <c r="N267" s="336"/>
      <c r="O267" s="346"/>
      <c r="P267" s="321">
        <f t="shared" si="67"/>
        <v>2023</v>
      </c>
      <c r="Q267" s="322">
        <v>0</v>
      </c>
      <c r="R267" s="322">
        <v>0</v>
      </c>
      <c r="S267" s="331" t="e">
        <f t="shared" si="72"/>
        <v>#DIV/0!</v>
      </c>
      <c r="T267" s="331" t="e">
        <f t="shared" si="72"/>
        <v>#DIV/0!</v>
      </c>
      <c r="U267" s="331">
        <f t="shared" si="73"/>
        <v>0</v>
      </c>
      <c r="V267" s="331">
        <f t="shared" si="73"/>
        <v>0</v>
      </c>
      <c r="W267" s="331" t="e">
        <f t="shared" si="80"/>
        <v>#DIV/0!</v>
      </c>
      <c r="X267" s="331"/>
      <c r="Y267" s="331" t="e">
        <f t="shared" si="74"/>
        <v>#DIV/0!</v>
      </c>
      <c r="Z267" s="322">
        <f t="shared" si="81"/>
        <v>0</v>
      </c>
      <c r="AA267" s="323"/>
      <c r="AC267" s="336"/>
      <c r="AD267" s="346"/>
      <c r="AE267" s="321">
        <f t="shared" si="68"/>
        <v>2017</v>
      </c>
      <c r="AF267" s="322">
        <v>0</v>
      </c>
      <c r="AG267" s="322">
        <v>0</v>
      </c>
      <c r="AH267" s="331" t="e">
        <f t="shared" si="75"/>
        <v>#DIV/0!</v>
      </c>
      <c r="AI267" s="331" t="e">
        <f t="shared" si="75"/>
        <v>#DIV/0!</v>
      </c>
      <c r="AJ267" s="331">
        <f t="shared" si="76"/>
        <v>0</v>
      </c>
      <c r="AK267" s="331">
        <f t="shared" si="76"/>
        <v>0</v>
      </c>
      <c r="AL267" s="331" t="e">
        <f t="shared" si="82"/>
        <v>#DIV/0!</v>
      </c>
      <c r="AM267" s="331" t="e">
        <f t="shared" si="77"/>
        <v>#DIV/0!</v>
      </c>
      <c r="AN267" s="322">
        <f t="shared" si="83"/>
        <v>0</v>
      </c>
      <c r="AO267" s="323"/>
      <c r="AQ267" s="336"/>
    </row>
    <row r="268" spans="2:43" s="314" customFormat="1" ht="15.75" hidden="1" x14ac:dyDescent="0.25">
      <c r="B268" s="321">
        <f t="shared" si="66"/>
        <v>2024</v>
      </c>
      <c r="C268" s="322">
        <v>0</v>
      </c>
      <c r="D268" s="322">
        <v>0</v>
      </c>
      <c r="E268" s="331" t="e">
        <f t="shared" si="69"/>
        <v>#DIV/0!</v>
      </c>
      <c r="F268" s="331" t="e">
        <f t="shared" si="69"/>
        <v>#DIV/0!</v>
      </c>
      <c r="G268" s="331">
        <f t="shared" si="70"/>
        <v>0</v>
      </c>
      <c r="H268" s="331">
        <f t="shared" si="70"/>
        <v>0</v>
      </c>
      <c r="I268" s="335" t="e">
        <f t="shared" si="78"/>
        <v>#DIV/0!</v>
      </c>
      <c r="J268" s="331" t="e">
        <f t="shared" si="71"/>
        <v>#DIV/0!</v>
      </c>
      <c r="K268" s="322">
        <f t="shared" si="79"/>
        <v>0</v>
      </c>
      <c r="L268" s="323"/>
      <c r="O268" s="346"/>
      <c r="P268" s="321">
        <f t="shared" si="67"/>
        <v>2024</v>
      </c>
      <c r="Q268" s="322">
        <v>0</v>
      </c>
      <c r="R268" s="322">
        <v>0</v>
      </c>
      <c r="S268" s="331" t="e">
        <f t="shared" si="72"/>
        <v>#DIV/0!</v>
      </c>
      <c r="T268" s="331" t="e">
        <f t="shared" si="72"/>
        <v>#DIV/0!</v>
      </c>
      <c r="U268" s="331">
        <f t="shared" si="73"/>
        <v>0</v>
      </c>
      <c r="V268" s="331">
        <f t="shared" si="73"/>
        <v>0</v>
      </c>
      <c r="W268" s="331" t="e">
        <f t="shared" si="80"/>
        <v>#DIV/0!</v>
      </c>
      <c r="X268" s="331"/>
      <c r="Y268" s="331" t="e">
        <f t="shared" si="74"/>
        <v>#DIV/0!</v>
      </c>
      <c r="Z268" s="322">
        <f t="shared" si="81"/>
        <v>0</v>
      </c>
      <c r="AA268" s="323"/>
      <c r="AD268" s="346"/>
      <c r="AE268" s="321">
        <f t="shared" si="68"/>
        <v>2018</v>
      </c>
      <c r="AF268" s="322">
        <v>0</v>
      </c>
      <c r="AG268" s="322">
        <v>0</v>
      </c>
      <c r="AH268" s="331" t="e">
        <f t="shared" si="75"/>
        <v>#DIV/0!</v>
      </c>
      <c r="AI268" s="331" t="e">
        <f t="shared" si="75"/>
        <v>#DIV/0!</v>
      </c>
      <c r="AJ268" s="331">
        <f t="shared" si="76"/>
        <v>0</v>
      </c>
      <c r="AK268" s="331">
        <f t="shared" si="76"/>
        <v>0</v>
      </c>
      <c r="AL268" s="331" t="e">
        <f t="shared" si="82"/>
        <v>#DIV/0!</v>
      </c>
      <c r="AM268" s="331" t="e">
        <f t="shared" si="77"/>
        <v>#DIV/0!</v>
      </c>
      <c r="AN268" s="322">
        <f t="shared" si="83"/>
        <v>0</v>
      </c>
      <c r="AO268" s="323"/>
    </row>
    <row r="269" spans="2:43" s="314" customFormat="1" ht="15.75" hidden="1" x14ac:dyDescent="0.25">
      <c r="B269" s="321">
        <f t="shared" si="66"/>
        <v>2025</v>
      </c>
      <c r="C269" s="322">
        <v>0</v>
      </c>
      <c r="D269" s="322">
        <v>0</v>
      </c>
      <c r="E269" s="331" t="e">
        <f t="shared" si="69"/>
        <v>#DIV/0!</v>
      </c>
      <c r="F269" s="331" t="e">
        <f t="shared" si="69"/>
        <v>#DIV/0!</v>
      </c>
      <c r="G269" s="331">
        <f t="shared" si="70"/>
        <v>0</v>
      </c>
      <c r="H269" s="331">
        <f t="shared" si="70"/>
        <v>0</v>
      </c>
      <c r="I269" s="335" t="e">
        <f t="shared" si="78"/>
        <v>#DIV/0!</v>
      </c>
      <c r="J269" s="331" t="e">
        <f t="shared" si="71"/>
        <v>#DIV/0!</v>
      </c>
      <c r="K269" s="322">
        <f t="shared" si="79"/>
        <v>0</v>
      </c>
      <c r="L269" s="323"/>
      <c r="O269" s="346"/>
      <c r="P269" s="321">
        <f t="shared" si="67"/>
        <v>2025</v>
      </c>
      <c r="Q269" s="322">
        <v>0</v>
      </c>
      <c r="R269" s="322">
        <v>0</v>
      </c>
      <c r="S269" s="331" t="e">
        <f t="shared" si="72"/>
        <v>#DIV/0!</v>
      </c>
      <c r="T269" s="331" t="e">
        <f t="shared" si="72"/>
        <v>#DIV/0!</v>
      </c>
      <c r="U269" s="331">
        <f t="shared" si="73"/>
        <v>0</v>
      </c>
      <c r="V269" s="331">
        <f t="shared" si="73"/>
        <v>0</v>
      </c>
      <c r="W269" s="331" t="e">
        <f t="shared" si="80"/>
        <v>#DIV/0!</v>
      </c>
      <c r="X269" s="331"/>
      <c r="Y269" s="331" t="e">
        <f t="shared" si="74"/>
        <v>#DIV/0!</v>
      </c>
      <c r="Z269" s="322">
        <f t="shared" si="81"/>
        <v>0</v>
      </c>
      <c r="AA269" s="323"/>
      <c r="AD269" s="346"/>
      <c r="AE269" s="321">
        <f t="shared" si="68"/>
        <v>2019</v>
      </c>
      <c r="AF269" s="322">
        <v>0</v>
      </c>
      <c r="AG269" s="322">
        <v>0</v>
      </c>
      <c r="AH269" s="331" t="e">
        <f t="shared" si="75"/>
        <v>#DIV/0!</v>
      </c>
      <c r="AI269" s="331" t="e">
        <f t="shared" si="75"/>
        <v>#DIV/0!</v>
      </c>
      <c r="AJ269" s="331">
        <f t="shared" si="76"/>
        <v>0</v>
      </c>
      <c r="AK269" s="331">
        <f t="shared" si="76"/>
        <v>0</v>
      </c>
      <c r="AL269" s="331" t="e">
        <f t="shared" si="82"/>
        <v>#DIV/0!</v>
      </c>
      <c r="AM269" s="331" t="e">
        <f t="shared" si="77"/>
        <v>#DIV/0!</v>
      </c>
      <c r="AN269" s="322">
        <f t="shared" si="83"/>
        <v>0</v>
      </c>
      <c r="AO269" s="323"/>
    </row>
    <row r="270" spans="2:43" s="314" customFormat="1" ht="15.75" hidden="1" x14ac:dyDescent="0.25">
      <c r="B270" s="321">
        <f t="shared" si="66"/>
        <v>2026</v>
      </c>
      <c r="C270" s="322">
        <v>0</v>
      </c>
      <c r="D270" s="322">
        <v>0</v>
      </c>
      <c r="E270" s="331" t="e">
        <f t="shared" si="69"/>
        <v>#DIV/0!</v>
      </c>
      <c r="F270" s="331" t="e">
        <f t="shared" si="69"/>
        <v>#DIV/0!</v>
      </c>
      <c r="G270" s="331">
        <f t="shared" si="70"/>
        <v>0</v>
      </c>
      <c r="H270" s="331">
        <f t="shared" si="70"/>
        <v>0</v>
      </c>
      <c r="I270" s="335" t="e">
        <f t="shared" si="78"/>
        <v>#DIV/0!</v>
      </c>
      <c r="J270" s="331" t="e">
        <f t="shared" si="71"/>
        <v>#DIV/0!</v>
      </c>
      <c r="K270" s="322">
        <f t="shared" si="79"/>
        <v>0</v>
      </c>
      <c r="L270" s="323"/>
      <c r="O270" s="346"/>
      <c r="P270" s="321">
        <f t="shared" si="67"/>
        <v>2026</v>
      </c>
      <c r="Q270" s="322">
        <v>0</v>
      </c>
      <c r="R270" s="322">
        <v>0</v>
      </c>
      <c r="S270" s="331" t="e">
        <f t="shared" si="72"/>
        <v>#DIV/0!</v>
      </c>
      <c r="T270" s="331" t="e">
        <f t="shared" si="72"/>
        <v>#DIV/0!</v>
      </c>
      <c r="U270" s="331">
        <f t="shared" si="73"/>
        <v>0</v>
      </c>
      <c r="V270" s="331">
        <f t="shared" si="73"/>
        <v>0</v>
      </c>
      <c r="W270" s="331" t="e">
        <f t="shared" si="80"/>
        <v>#DIV/0!</v>
      </c>
      <c r="X270" s="331"/>
      <c r="Y270" s="331" t="e">
        <f t="shared" si="74"/>
        <v>#DIV/0!</v>
      </c>
      <c r="Z270" s="322">
        <f t="shared" si="81"/>
        <v>0</v>
      </c>
      <c r="AA270" s="323"/>
      <c r="AD270" s="346"/>
      <c r="AE270" s="321">
        <f t="shared" si="68"/>
        <v>2020</v>
      </c>
      <c r="AF270" s="322">
        <v>0</v>
      </c>
      <c r="AG270" s="322">
        <v>0</v>
      </c>
      <c r="AH270" s="331" t="e">
        <f t="shared" si="75"/>
        <v>#DIV/0!</v>
      </c>
      <c r="AI270" s="331" t="e">
        <f t="shared" si="75"/>
        <v>#DIV/0!</v>
      </c>
      <c r="AJ270" s="331">
        <f t="shared" si="76"/>
        <v>0</v>
      </c>
      <c r="AK270" s="331">
        <f t="shared" si="76"/>
        <v>0</v>
      </c>
      <c r="AL270" s="331" t="e">
        <f t="shared" si="82"/>
        <v>#DIV/0!</v>
      </c>
      <c r="AM270" s="331" t="e">
        <f t="shared" si="77"/>
        <v>#DIV/0!</v>
      </c>
      <c r="AN270" s="322">
        <f t="shared" si="83"/>
        <v>0</v>
      </c>
      <c r="AO270" s="323"/>
    </row>
    <row r="271" spans="2:43" s="314" customFormat="1" ht="15.75" hidden="1" x14ac:dyDescent="0.25">
      <c r="B271" s="321">
        <f t="shared" si="66"/>
        <v>2027</v>
      </c>
      <c r="C271" s="322">
        <v>0</v>
      </c>
      <c r="D271" s="322">
        <v>0</v>
      </c>
      <c r="E271" s="331" t="e">
        <f t="shared" si="69"/>
        <v>#DIV/0!</v>
      </c>
      <c r="F271" s="331" t="e">
        <f t="shared" si="69"/>
        <v>#DIV/0!</v>
      </c>
      <c r="G271" s="331">
        <f t="shared" si="70"/>
        <v>0</v>
      </c>
      <c r="H271" s="331">
        <f t="shared" si="70"/>
        <v>0</v>
      </c>
      <c r="I271" s="335" t="e">
        <f t="shared" si="78"/>
        <v>#DIV/0!</v>
      </c>
      <c r="J271" s="331" t="e">
        <f t="shared" si="71"/>
        <v>#DIV/0!</v>
      </c>
      <c r="K271" s="322">
        <f t="shared" si="79"/>
        <v>0</v>
      </c>
      <c r="L271" s="323"/>
      <c r="O271" s="346"/>
      <c r="P271" s="321">
        <f t="shared" si="67"/>
        <v>2027</v>
      </c>
      <c r="Q271" s="322">
        <v>0</v>
      </c>
      <c r="R271" s="322">
        <v>0</v>
      </c>
      <c r="S271" s="331" t="e">
        <f t="shared" si="72"/>
        <v>#DIV/0!</v>
      </c>
      <c r="T271" s="331" t="e">
        <f t="shared" si="72"/>
        <v>#DIV/0!</v>
      </c>
      <c r="U271" s="331">
        <f t="shared" si="73"/>
        <v>0</v>
      </c>
      <c r="V271" s="331">
        <f t="shared" si="73"/>
        <v>0</v>
      </c>
      <c r="W271" s="331" t="e">
        <f t="shared" si="80"/>
        <v>#DIV/0!</v>
      </c>
      <c r="X271" s="331"/>
      <c r="Y271" s="331" t="e">
        <f t="shared" si="74"/>
        <v>#DIV/0!</v>
      </c>
      <c r="Z271" s="322">
        <f t="shared" si="81"/>
        <v>0</v>
      </c>
      <c r="AA271" s="323"/>
      <c r="AD271" s="346"/>
      <c r="AE271" s="321">
        <f t="shared" si="68"/>
        <v>2021</v>
      </c>
      <c r="AF271" s="322">
        <v>0</v>
      </c>
      <c r="AG271" s="322">
        <v>0</v>
      </c>
      <c r="AH271" s="331" t="e">
        <f t="shared" si="75"/>
        <v>#DIV/0!</v>
      </c>
      <c r="AI271" s="331" t="e">
        <f t="shared" si="75"/>
        <v>#DIV/0!</v>
      </c>
      <c r="AJ271" s="331">
        <f t="shared" si="76"/>
        <v>0</v>
      </c>
      <c r="AK271" s="331">
        <f t="shared" si="76"/>
        <v>0</v>
      </c>
      <c r="AL271" s="331" t="e">
        <f t="shared" si="82"/>
        <v>#DIV/0!</v>
      </c>
      <c r="AM271" s="331" t="e">
        <f t="shared" si="77"/>
        <v>#DIV/0!</v>
      </c>
      <c r="AN271" s="322">
        <f t="shared" si="83"/>
        <v>0</v>
      </c>
      <c r="AO271" s="323"/>
    </row>
    <row r="272" spans="2:43" s="314" customFormat="1" ht="15.75" hidden="1" x14ac:dyDescent="0.25">
      <c r="B272" s="321">
        <f t="shared" si="66"/>
        <v>2028</v>
      </c>
      <c r="C272" s="322">
        <v>0</v>
      </c>
      <c r="D272" s="322">
        <v>0</v>
      </c>
      <c r="E272" s="331" t="e">
        <f t="shared" si="69"/>
        <v>#DIV/0!</v>
      </c>
      <c r="F272" s="331" t="e">
        <f t="shared" si="69"/>
        <v>#DIV/0!</v>
      </c>
      <c r="G272" s="331">
        <f t="shared" si="70"/>
        <v>0</v>
      </c>
      <c r="H272" s="331">
        <f t="shared" si="70"/>
        <v>0</v>
      </c>
      <c r="I272" s="335" t="e">
        <f t="shared" si="78"/>
        <v>#DIV/0!</v>
      </c>
      <c r="J272" s="331" t="e">
        <f t="shared" si="71"/>
        <v>#DIV/0!</v>
      </c>
      <c r="K272" s="322">
        <f t="shared" si="79"/>
        <v>0</v>
      </c>
      <c r="L272" s="323"/>
      <c r="O272" s="346"/>
      <c r="P272" s="321">
        <f t="shared" si="67"/>
        <v>2028</v>
      </c>
      <c r="Q272" s="322">
        <v>0</v>
      </c>
      <c r="R272" s="322">
        <v>0</v>
      </c>
      <c r="S272" s="331" t="e">
        <f t="shared" si="72"/>
        <v>#DIV/0!</v>
      </c>
      <c r="T272" s="331" t="e">
        <f t="shared" si="72"/>
        <v>#DIV/0!</v>
      </c>
      <c r="U272" s="331">
        <f t="shared" si="73"/>
        <v>0</v>
      </c>
      <c r="V272" s="331">
        <f t="shared" si="73"/>
        <v>0</v>
      </c>
      <c r="W272" s="331" t="e">
        <f t="shared" si="80"/>
        <v>#DIV/0!</v>
      </c>
      <c r="X272" s="331"/>
      <c r="Y272" s="331" t="e">
        <f t="shared" si="74"/>
        <v>#DIV/0!</v>
      </c>
      <c r="Z272" s="322">
        <f t="shared" si="81"/>
        <v>0</v>
      </c>
      <c r="AA272" s="323"/>
      <c r="AD272" s="346"/>
      <c r="AE272" s="321">
        <f t="shared" si="68"/>
        <v>2022</v>
      </c>
      <c r="AF272" s="322">
        <v>0</v>
      </c>
      <c r="AG272" s="322">
        <v>0</v>
      </c>
      <c r="AH272" s="331" t="e">
        <f t="shared" si="75"/>
        <v>#DIV/0!</v>
      </c>
      <c r="AI272" s="331" t="e">
        <f t="shared" si="75"/>
        <v>#DIV/0!</v>
      </c>
      <c r="AJ272" s="331">
        <f t="shared" si="76"/>
        <v>0</v>
      </c>
      <c r="AK272" s="331">
        <f t="shared" si="76"/>
        <v>0</v>
      </c>
      <c r="AL272" s="331" t="e">
        <f t="shared" si="82"/>
        <v>#DIV/0!</v>
      </c>
      <c r="AM272" s="331" t="e">
        <f t="shared" si="77"/>
        <v>#DIV/0!</v>
      </c>
      <c r="AN272" s="322">
        <f t="shared" si="83"/>
        <v>0</v>
      </c>
      <c r="AO272" s="323"/>
    </row>
    <row r="273" spans="2:41" s="314" customFormat="1" ht="15.75" hidden="1" x14ac:dyDescent="0.25">
      <c r="B273" s="321">
        <f t="shared" si="66"/>
        <v>2029</v>
      </c>
      <c r="C273" s="322">
        <v>0</v>
      </c>
      <c r="D273" s="322">
        <v>0</v>
      </c>
      <c r="E273" s="331" t="e">
        <f t="shared" si="69"/>
        <v>#DIV/0!</v>
      </c>
      <c r="F273" s="331" t="e">
        <f t="shared" si="69"/>
        <v>#DIV/0!</v>
      </c>
      <c r="G273" s="331">
        <f t="shared" si="70"/>
        <v>0</v>
      </c>
      <c r="H273" s="331">
        <f t="shared" si="70"/>
        <v>0</v>
      </c>
      <c r="I273" s="335" t="e">
        <f t="shared" si="78"/>
        <v>#DIV/0!</v>
      </c>
      <c r="J273" s="331" t="e">
        <f t="shared" si="71"/>
        <v>#DIV/0!</v>
      </c>
      <c r="K273" s="322">
        <f t="shared" si="79"/>
        <v>0</v>
      </c>
      <c r="L273" s="323"/>
      <c r="O273" s="346"/>
      <c r="P273" s="321">
        <f t="shared" si="67"/>
        <v>2029</v>
      </c>
      <c r="Q273" s="322">
        <v>0</v>
      </c>
      <c r="R273" s="322">
        <v>0</v>
      </c>
      <c r="S273" s="331" t="e">
        <f t="shared" si="72"/>
        <v>#DIV/0!</v>
      </c>
      <c r="T273" s="331" t="e">
        <f t="shared" si="72"/>
        <v>#DIV/0!</v>
      </c>
      <c r="U273" s="331">
        <f t="shared" si="73"/>
        <v>0</v>
      </c>
      <c r="V273" s="331">
        <f t="shared" si="73"/>
        <v>0</v>
      </c>
      <c r="W273" s="331" t="e">
        <f t="shared" si="80"/>
        <v>#DIV/0!</v>
      </c>
      <c r="X273" s="331"/>
      <c r="Y273" s="331" t="e">
        <f t="shared" si="74"/>
        <v>#DIV/0!</v>
      </c>
      <c r="Z273" s="322">
        <f t="shared" si="81"/>
        <v>0</v>
      </c>
      <c r="AA273" s="323"/>
      <c r="AD273" s="346"/>
      <c r="AE273" s="321">
        <f t="shared" si="68"/>
        <v>2023</v>
      </c>
      <c r="AF273" s="322">
        <v>0</v>
      </c>
      <c r="AG273" s="322">
        <v>0</v>
      </c>
      <c r="AH273" s="331" t="e">
        <f t="shared" si="75"/>
        <v>#DIV/0!</v>
      </c>
      <c r="AI273" s="331" t="e">
        <f t="shared" si="75"/>
        <v>#DIV/0!</v>
      </c>
      <c r="AJ273" s="331">
        <f t="shared" si="76"/>
        <v>0</v>
      </c>
      <c r="AK273" s="331">
        <f t="shared" si="76"/>
        <v>0</v>
      </c>
      <c r="AL273" s="331" t="e">
        <f t="shared" si="82"/>
        <v>#DIV/0!</v>
      </c>
      <c r="AM273" s="331" t="e">
        <f t="shared" si="77"/>
        <v>#DIV/0!</v>
      </c>
      <c r="AN273" s="322">
        <f t="shared" si="83"/>
        <v>0</v>
      </c>
      <c r="AO273" s="323"/>
    </row>
    <row r="274" spans="2:41" s="314" customFormat="1" ht="15.75" hidden="1" x14ac:dyDescent="0.25">
      <c r="B274" s="321">
        <f t="shared" si="66"/>
        <v>2030</v>
      </c>
      <c r="C274" s="322">
        <v>0</v>
      </c>
      <c r="D274" s="322">
        <v>0</v>
      </c>
      <c r="E274" s="331" t="e">
        <f t="shared" si="69"/>
        <v>#DIV/0!</v>
      </c>
      <c r="F274" s="331" t="e">
        <f t="shared" si="69"/>
        <v>#DIV/0!</v>
      </c>
      <c r="G274" s="331">
        <f t="shared" si="70"/>
        <v>0</v>
      </c>
      <c r="H274" s="331">
        <f t="shared" si="70"/>
        <v>0</v>
      </c>
      <c r="I274" s="335" t="e">
        <f t="shared" si="78"/>
        <v>#DIV/0!</v>
      </c>
      <c r="J274" s="331" t="e">
        <f t="shared" si="71"/>
        <v>#DIV/0!</v>
      </c>
      <c r="K274" s="322">
        <f t="shared" si="79"/>
        <v>0</v>
      </c>
      <c r="L274" s="323"/>
      <c r="O274" s="346"/>
      <c r="P274" s="321">
        <f t="shared" si="67"/>
        <v>2030</v>
      </c>
      <c r="Q274" s="322">
        <v>0</v>
      </c>
      <c r="R274" s="322">
        <v>0</v>
      </c>
      <c r="S274" s="331" t="e">
        <f t="shared" si="72"/>
        <v>#DIV/0!</v>
      </c>
      <c r="T274" s="331" t="e">
        <f t="shared" si="72"/>
        <v>#DIV/0!</v>
      </c>
      <c r="U274" s="331">
        <f t="shared" si="73"/>
        <v>0</v>
      </c>
      <c r="V274" s="331">
        <f t="shared" si="73"/>
        <v>0</v>
      </c>
      <c r="W274" s="331" t="e">
        <f t="shared" si="80"/>
        <v>#DIV/0!</v>
      </c>
      <c r="X274" s="331"/>
      <c r="Y274" s="331" t="e">
        <f t="shared" si="74"/>
        <v>#DIV/0!</v>
      </c>
      <c r="Z274" s="322">
        <f t="shared" si="81"/>
        <v>0</v>
      </c>
      <c r="AA274" s="323"/>
      <c r="AD274" s="346"/>
      <c r="AE274" s="321">
        <f t="shared" si="68"/>
        <v>2024</v>
      </c>
      <c r="AF274" s="322">
        <v>0</v>
      </c>
      <c r="AG274" s="322">
        <v>0</v>
      </c>
      <c r="AH274" s="331" t="e">
        <f t="shared" si="75"/>
        <v>#DIV/0!</v>
      </c>
      <c r="AI274" s="331" t="e">
        <f t="shared" si="75"/>
        <v>#DIV/0!</v>
      </c>
      <c r="AJ274" s="331">
        <f t="shared" si="76"/>
        <v>0</v>
      </c>
      <c r="AK274" s="331">
        <f t="shared" si="76"/>
        <v>0</v>
      </c>
      <c r="AL274" s="331" t="e">
        <f t="shared" si="82"/>
        <v>#DIV/0!</v>
      </c>
      <c r="AM274" s="331" t="e">
        <f t="shared" si="77"/>
        <v>#DIV/0!</v>
      </c>
      <c r="AN274" s="322">
        <f t="shared" si="83"/>
        <v>0</v>
      </c>
      <c r="AO274" s="323"/>
    </row>
    <row r="275" spans="2:41" s="314" customFormat="1" ht="15.75" hidden="1" x14ac:dyDescent="0.25">
      <c r="B275" s="321">
        <f t="shared" si="66"/>
        <v>2031</v>
      </c>
      <c r="C275" s="322">
        <v>0</v>
      </c>
      <c r="D275" s="322">
        <v>0</v>
      </c>
      <c r="E275" s="331" t="e">
        <f t="shared" si="69"/>
        <v>#DIV/0!</v>
      </c>
      <c r="F275" s="331" t="e">
        <f t="shared" si="69"/>
        <v>#DIV/0!</v>
      </c>
      <c r="G275" s="331">
        <f t="shared" si="70"/>
        <v>0</v>
      </c>
      <c r="H275" s="331">
        <f t="shared" si="70"/>
        <v>0</v>
      </c>
      <c r="I275" s="335" t="e">
        <f t="shared" si="78"/>
        <v>#DIV/0!</v>
      </c>
      <c r="J275" s="331" t="e">
        <f t="shared" si="71"/>
        <v>#DIV/0!</v>
      </c>
      <c r="K275" s="322">
        <f t="shared" si="79"/>
        <v>0</v>
      </c>
      <c r="L275" s="323"/>
      <c r="O275" s="346"/>
      <c r="P275" s="321">
        <f t="shared" si="67"/>
        <v>2031</v>
      </c>
      <c r="Q275" s="322">
        <v>0</v>
      </c>
      <c r="R275" s="322">
        <v>0</v>
      </c>
      <c r="S275" s="331" t="e">
        <f t="shared" si="72"/>
        <v>#DIV/0!</v>
      </c>
      <c r="T275" s="331" t="e">
        <f t="shared" si="72"/>
        <v>#DIV/0!</v>
      </c>
      <c r="U275" s="331">
        <f t="shared" si="73"/>
        <v>0</v>
      </c>
      <c r="V275" s="331">
        <f t="shared" si="73"/>
        <v>0</v>
      </c>
      <c r="W275" s="331" t="e">
        <f t="shared" si="80"/>
        <v>#DIV/0!</v>
      </c>
      <c r="X275" s="331"/>
      <c r="Y275" s="331" t="e">
        <f t="shared" si="74"/>
        <v>#DIV/0!</v>
      </c>
      <c r="Z275" s="322">
        <f t="shared" si="81"/>
        <v>0</v>
      </c>
      <c r="AA275" s="323"/>
      <c r="AD275" s="346"/>
      <c r="AE275" s="321">
        <f t="shared" si="68"/>
        <v>2025</v>
      </c>
      <c r="AF275" s="322">
        <v>0</v>
      </c>
      <c r="AG275" s="322">
        <v>0</v>
      </c>
      <c r="AH275" s="331" t="e">
        <f t="shared" si="75"/>
        <v>#DIV/0!</v>
      </c>
      <c r="AI275" s="331" t="e">
        <f t="shared" si="75"/>
        <v>#DIV/0!</v>
      </c>
      <c r="AJ275" s="331">
        <f t="shared" si="76"/>
        <v>0</v>
      </c>
      <c r="AK275" s="331">
        <f t="shared" si="76"/>
        <v>0</v>
      </c>
      <c r="AL275" s="331" t="e">
        <f t="shared" si="82"/>
        <v>#DIV/0!</v>
      </c>
      <c r="AM275" s="331" t="e">
        <f t="shared" si="77"/>
        <v>#DIV/0!</v>
      </c>
      <c r="AN275" s="322">
        <f t="shared" si="83"/>
        <v>0</v>
      </c>
      <c r="AO275" s="323"/>
    </row>
    <row r="276" spans="2:41" s="314" customFormat="1" ht="15.75" hidden="1" x14ac:dyDescent="0.25">
      <c r="B276" s="321">
        <f t="shared" si="66"/>
        <v>2032</v>
      </c>
      <c r="C276" s="322">
        <v>0</v>
      </c>
      <c r="D276" s="322">
        <v>0</v>
      </c>
      <c r="E276" s="331" t="e">
        <f t="shared" si="69"/>
        <v>#DIV/0!</v>
      </c>
      <c r="F276" s="331" t="e">
        <f t="shared" si="69"/>
        <v>#DIV/0!</v>
      </c>
      <c r="G276" s="331">
        <f t="shared" si="70"/>
        <v>0</v>
      </c>
      <c r="H276" s="331">
        <f t="shared" si="70"/>
        <v>0</v>
      </c>
      <c r="I276" s="335" t="e">
        <f t="shared" si="78"/>
        <v>#DIV/0!</v>
      </c>
      <c r="J276" s="331" t="e">
        <f t="shared" si="71"/>
        <v>#DIV/0!</v>
      </c>
      <c r="K276" s="322">
        <f t="shared" si="79"/>
        <v>0</v>
      </c>
      <c r="L276" s="323"/>
      <c r="O276" s="346"/>
      <c r="P276" s="321">
        <f t="shared" si="67"/>
        <v>2032</v>
      </c>
      <c r="Q276" s="322">
        <v>0</v>
      </c>
      <c r="R276" s="322">
        <v>0</v>
      </c>
      <c r="S276" s="331" t="e">
        <f t="shared" si="72"/>
        <v>#DIV/0!</v>
      </c>
      <c r="T276" s="331" t="e">
        <f t="shared" si="72"/>
        <v>#DIV/0!</v>
      </c>
      <c r="U276" s="331">
        <f t="shared" si="73"/>
        <v>0</v>
      </c>
      <c r="V276" s="331">
        <f t="shared" si="73"/>
        <v>0</v>
      </c>
      <c r="W276" s="331" t="e">
        <f t="shared" si="80"/>
        <v>#DIV/0!</v>
      </c>
      <c r="X276" s="331"/>
      <c r="Y276" s="331" t="e">
        <f t="shared" si="74"/>
        <v>#DIV/0!</v>
      </c>
      <c r="Z276" s="322">
        <f t="shared" si="81"/>
        <v>0</v>
      </c>
      <c r="AA276" s="323"/>
      <c r="AD276" s="346"/>
      <c r="AE276" s="321">
        <f t="shared" si="68"/>
        <v>2026</v>
      </c>
      <c r="AF276" s="322">
        <v>0</v>
      </c>
      <c r="AG276" s="322">
        <v>0</v>
      </c>
      <c r="AH276" s="331" t="e">
        <f t="shared" si="75"/>
        <v>#DIV/0!</v>
      </c>
      <c r="AI276" s="331" t="e">
        <f t="shared" si="75"/>
        <v>#DIV/0!</v>
      </c>
      <c r="AJ276" s="331">
        <f t="shared" si="76"/>
        <v>0</v>
      </c>
      <c r="AK276" s="331">
        <f t="shared" si="76"/>
        <v>0</v>
      </c>
      <c r="AL276" s="331" t="e">
        <f t="shared" si="82"/>
        <v>#DIV/0!</v>
      </c>
      <c r="AM276" s="331" t="e">
        <f t="shared" si="77"/>
        <v>#DIV/0!</v>
      </c>
      <c r="AN276" s="322">
        <f t="shared" si="83"/>
        <v>0</v>
      </c>
      <c r="AO276" s="323"/>
    </row>
    <row r="277" spans="2:41" s="314" customFormat="1" ht="15.75" hidden="1" x14ac:dyDescent="0.25">
      <c r="B277" s="321">
        <f t="shared" si="66"/>
        <v>2033</v>
      </c>
      <c r="C277" s="322">
        <v>0</v>
      </c>
      <c r="D277" s="322">
        <v>0</v>
      </c>
      <c r="E277" s="331" t="e">
        <f t="shared" si="69"/>
        <v>#DIV/0!</v>
      </c>
      <c r="F277" s="331" t="e">
        <f t="shared" si="69"/>
        <v>#DIV/0!</v>
      </c>
      <c r="G277" s="331">
        <f t="shared" si="70"/>
        <v>0</v>
      </c>
      <c r="H277" s="331">
        <f t="shared" si="70"/>
        <v>0</v>
      </c>
      <c r="I277" s="335" t="e">
        <f t="shared" si="78"/>
        <v>#DIV/0!</v>
      </c>
      <c r="J277" s="331" t="e">
        <f t="shared" si="71"/>
        <v>#DIV/0!</v>
      </c>
      <c r="K277" s="322">
        <f t="shared" si="79"/>
        <v>0</v>
      </c>
      <c r="L277" s="323"/>
      <c r="O277" s="346"/>
      <c r="P277" s="321">
        <f t="shared" si="67"/>
        <v>2033</v>
      </c>
      <c r="Q277" s="322">
        <v>0</v>
      </c>
      <c r="R277" s="322">
        <v>0</v>
      </c>
      <c r="S277" s="331" t="e">
        <f t="shared" si="72"/>
        <v>#DIV/0!</v>
      </c>
      <c r="T277" s="331" t="e">
        <f t="shared" si="72"/>
        <v>#DIV/0!</v>
      </c>
      <c r="U277" s="331">
        <f t="shared" si="73"/>
        <v>0</v>
      </c>
      <c r="V277" s="331">
        <f t="shared" si="73"/>
        <v>0</v>
      </c>
      <c r="W277" s="331" t="e">
        <f t="shared" si="80"/>
        <v>#DIV/0!</v>
      </c>
      <c r="X277" s="331"/>
      <c r="Y277" s="331" t="e">
        <f t="shared" si="74"/>
        <v>#DIV/0!</v>
      </c>
      <c r="Z277" s="322">
        <f t="shared" si="81"/>
        <v>0</v>
      </c>
      <c r="AA277" s="323"/>
      <c r="AD277" s="346"/>
      <c r="AE277" s="321">
        <f t="shared" si="68"/>
        <v>2027</v>
      </c>
      <c r="AF277" s="322">
        <v>0</v>
      </c>
      <c r="AG277" s="322">
        <v>0</v>
      </c>
      <c r="AH277" s="331" t="e">
        <f t="shared" si="75"/>
        <v>#DIV/0!</v>
      </c>
      <c r="AI277" s="331" t="e">
        <f t="shared" si="75"/>
        <v>#DIV/0!</v>
      </c>
      <c r="AJ277" s="331">
        <f t="shared" si="76"/>
        <v>0</v>
      </c>
      <c r="AK277" s="331">
        <f t="shared" si="76"/>
        <v>0</v>
      </c>
      <c r="AL277" s="331" t="e">
        <f t="shared" si="82"/>
        <v>#DIV/0!</v>
      </c>
      <c r="AM277" s="331" t="e">
        <f t="shared" si="77"/>
        <v>#DIV/0!</v>
      </c>
      <c r="AN277" s="322">
        <f t="shared" si="83"/>
        <v>0</v>
      </c>
      <c r="AO277" s="323"/>
    </row>
    <row r="278" spans="2:41" s="314" customFormat="1" ht="15.75" hidden="1" x14ac:dyDescent="0.25">
      <c r="B278" s="321">
        <f t="shared" si="66"/>
        <v>2034</v>
      </c>
      <c r="C278" s="322">
        <v>0</v>
      </c>
      <c r="D278" s="322">
        <f>D259</f>
        <v>0</v>
      </c>
      <c r="E278" s="331" t="e">
        <f t="shared" si="69"/>
        <v>#DIV/0!</v>
      </c>
      <c r="F278" s="331" t="e">
        <f t="shared" si="69"/>
        <v>#DIV/0!</v>
      </c>
      <c r="G278" s="331">
        <f t="shared" si="70"/>
        <v>0</v>
      </c>
      <c r="H278" s="331">
        <f t="shared" si="70"/>
        <v>0</v>
      </c>
      <c r="I278" s="335" t="e">
        <f t="shared" si="78"/>
        <v>#DIV/0!</v>
      </c>
      <c r="J278" s="331" t="e">
        <f t="shared" si="71"/>
        <v>#DIV/0!</v>
      </c>
      <c r="K278" s="322">
        <f t="shared" si="79"/>
        <v>0</v>
      </c>
      <c r="L278" s="323"/>
      <c r="O278" s="346"/>
      <c r="P278" s="321">
        <f t="shared" si="67"/>
        <v>2034</v>
      </c>
      <c r="Q278" s="322">
        <v>0</v>
      </c>
      <c r="R278" s="322">
        <f>R259</f>
        <v>0</v>
      </c>
      <c r="S278" s="331" t="e">
        <f t="shared" si="72"/>
        <v>#DIV/0!</v>
      </c>
      <c r="T278" s="331" t="e">
        <f t="shared" si="72"/>
        <v>#DIV/0!</v>
      </c>
      <c r="U278" s="331">
        <f t="shared" si="73"/>
        <v>0</v>
      </c>
      <c r="V278" s="331">
        <f t="shared" si="73"/>
        <v>0</v>
      </c>
      <c r="W278" s="331" t="e">
        <f t="shared" si="80"/>
        <v>#DIV/0!</v>
      </c>
      <c r="X278" s="331"/>
      <c r="Y278" s="331" t="e">
        <f t="shared" si="74"/>
        <v>#DIV/0!</v>
      </c>
      <c r="Z278" s="322">
        <f t="shared" si="81"/>
        <v>0</v>
      </c>
      <c r="AA278" s="323"/>
      <c r="AD278" s="346"/>
      <c r="AE278" s="321">
        <f t="shared" si="68"/>
        <v>2028</v>
      </c>
      <c r="AF278" s="322">
        <v>0</v>
      </c>
      <c r="AG278" s="322">
        <f>AG259</f>
        <v>0</v>
      </c>
      <c r="AH278" s="331" t="e">
        <f t="shared" si="75"/>
        <v>#DIV/0!</v>
      </c>
      <c r="AI278" s="331" t="e">
        <f t="shared" si="75"/>
        <v>#DIV/0!</v>
      </c>
      <c r="AJ278" s="331">
        <f t="shared" si="76"/>
        <v>0</v>
      </c>
      <c r="AK278" s="331">
        <f t="shared" si="76"/>
        <v>0</v>
      </c>
      <c r="AL278" s="331" t="e">
        <f t="shared" si="82"/>
        <v>#DIV/0!</v>
      </c>
      <c r="AM278" s="331" t="e">
        <f t="shared" si="77"/>
        <v>#DIV/0!</v>
      </c>
      <c r="AN278" s="322">
        <f t="shared" si="83"/>
        <v>0</v>
      </c>
      <c r="AO278" s="323"/>
    </row>
    <row r="279" spans="2:41" s="314" customFormat="1" ht="15.75" hidden="1" x14ac:dyDescent="0.25">
      <c r="B279" s="321">
        <f t="shared" si="66"/>
        <v>2035</v>
      </c>
      <c r="C279" s="322">
        <v>0</v>
      </c>
      <c r="D279" s="322">
        <f>D260</f>
        <v>0</v>
      </c>
      <c r="E279" s="331" t="e">
        <f t="shared" si="69"/>
        <v>#DIV/0!</v>
      </c>
      <c r="F279" s="331" t="e">
        <f t="shared" si="69"/>
        <v>#DIV/0!</v>
      </c>
      <c r="G279" s="331">
        <f t="shared" si="70"/>
        <v>0</v>
      </c>
      <c r="H279" s="331">
        <f t="shared" si="70"/>
        <v>0</v>
      </c>
      <c r="I279" s="335" t="e">
        <f t="shared" si="78"/>
        <v>#DIV/0!</v>
      </c>
      <c r="J279" s="331" t="e">
        <f t="shared" si="71"/>
        <v>#DIV/0!</v>
      </c>
      <c r="K279" s="322">
        <f t="shared" si="79"/>
        <v>0</v>
      </c>
      <c r="L279" s="323"/>
      <c r="O279" s="346"/>
      <c r="P279" s="321">
        <f t="shared" si="67"/>
        <v>2035</v>
      </c>
      <c r="Q279" s="322">
        <v>0</v>
      </c>
      <c r="R279" s="322">
        <f>R260</f>
        <v>0</v>
      </c>
      <c r="S279" s="331" t="e">
        <f t="shared" si="72"/>
        <v>#DIV/0!</v>
      </c>
      <c r="T279" s="331" t="e">
        <f t="shared" si="72"/>
        <v>#DIV/0!</v>
      </c>
      <c r="U279" s="331">
        <f t="shared" si="73"/>
        <v>0</v>
      </c>
      <c r="V279" s="331">
        <f t="shared" si="73"/>
        <v>0</v>
      </c>
      <c r="W279" s="331" t="e">
        <f t="shared" si="80"/>
        <v>#DIV/0!</v>
      </c>
      <c r="X279" s="331"/>
      <c r="Y279" s="331" t="e">
        <f t="shared" si="74"/>
        <v>#DIV/0!</v>
      </c>
      <c r="Z279" s="322">
        <f t="shared" si="81"/>
        <v>0</v>
      </c>
      <c r="AA279" s="323"/>
      <c r="AD279" s="346"/>
      <c r="AE279" s="321">
        <f t="shared" si="68"/>
        <v>2029</v>
      </c>
      <c r="AF279" s="322">
        <v>0</v>
      </c>
      <c r="AG279" s="322">
        <f>AG260</f>
        <v>0</v>
      </c>
      <c r="AH279" s="331" t="e">
        <f t="shared" si="75"/>
        <v>#DIV/0!</v>
      </c>
      <c r="AI279" s="331" t="e">
        <f t="shared" si="75"/>
        <v>#DIV/0!</v>
      </c>
      <c r="AJ279" s="331">
        <f t="shared" si="76"/>
        <v>0</v>
      </c>
      <c r="AK279" s="331">
        <f t="shared" si="76"/>
        <v>0</v>
      </c>
      <c r="AL279" s="331" t="e">
        <f t="shared" si="82"/>
        <v>#DIV/0!</v>
      </c>
      <c r="AM279" s="331" t="e">
        <f t="shared" si="77"/>
        <v>#DIV/0!</v>
      </c>
      <c r="AN279" s="322">
        <f t="shared" si="83"/>
        <v>0</v>
      </c>
      <c r="AO279" s="323"/>
    </row>
    <row r="280" spans="2:41" s="314" customFormat="1" ht="15.75" hidden="1" x14ac:dyDescent="0.25">
      <c r="B280" s="321">
        <f t="shared" si="66"/>
        <v>2036</v>
      </c>
      <c r="C280" s="322">
        <v>0</v>
      </c>
      <c r="D280" s="322">
        <f t="shared" ref="D280:D288" si="84">D261</f>
        <v>0</v>
      </c>
      <c r="E280" s="331" t="e">
        <f t="shared" si="69"/>
        <v>#DIV/0!</v>
      </c>
      <c r="F280" s="331" t="e">
        <f t="shared" si="69"/>
        <v>#DIV/0!</v>
      </c>
      <c r="G280" s="331">
        <f t="shared" si="70"/>
        <v>0</v>
      </c>
      <c r="H280" s="331">
        <f t="shared" si="70"/>
        <v>0</v>
      </c>
      <c r="I280" s="335" t="e">
        <f t="shared" si="78"/>
        <v>#DIV/0!</v>
      </c>
      <c r="J280" s="331" t="e">
        <f t="shared" si="71"/>
        <v>#DIV/0!</v>
      </c>
      <c r="K280" s="322">
        <f t="shared" si="79"/>
        <v>0</v>
      </c>
      <c r="L280" s="323"/>
      <c r="O280" s="346"/>
      <c r="P280" s="321">
        <f t="shared" si="67"/>
        <v>2036</v>
      </c>
      <c r="Q280" s="322">
        <v>0</v>
      </c>
      <c r="R280" s="322">
        <f t="shared" ref="R280:R288" si="85">R261</f>
        <v>0</v>
      </c>
      <c r="S280" s="331" t="e">
        <f t="shared" si="72"/>
        <v>#DIV/0!</v>
      </c>
      <c r="T280" s="331" t="e">
        <f t="shared" si="72"/>
        <v>#DIV/0!</v>
      </c>
      <c r="U280" s="331">
        <f t="shared" si="73"/>
        <v>0</v>
      </c>
      <c r="V280" s="331">
        <f t="shared" si="73"/>
        <v>0</v>
      </c>
      <c r="W280" s="331" t="e">
        <f t="shared" si="80"/>
        <v>#DIV/0!</v>
      </c>
      <c r="X280" s="331"/>
      <c r="Y280" s="331" t="e">
        <f t="shared" si="74"/>
        <v>#DIV/0!</v>
      </c>
      <c r="Z280" s="322">
        <f t="shared" si="81"/>
        <v>0</v>
      </c>
      <c r="AA280" s="323"/>
      <c r="AD280" s="346"/>
      <c r="AE280" s="321">
        <f t="shared" si="68"/>
        <v>2030</v>
      </c>
      <c r="AF280" s="322">
        <v>0</v>
      </c>
      <c r="AG280" s="322">
        <f t="shared" ref="AG280:AG288" si="86">AG261</f>
        <v>0</v>
      </c>
      <c r="AH280" s="331" t="e">
        <f t="shared" si="75"/>
        <v>#DIV/0!</v>
      </c>
      <c r="AI280" s="331" t="e">
        <f t="shared" si="75"/>
        <v>#DIV/0!</v>
      </c>
      <c r="AJ280" s="331">
        <f t="shared" si="76"/>
        <v>0</v>
      </c>
      <c r="AK280" s="331">
        <f t="shared" si="76"/>
        <v>0</v>
      </c>
      <c r="AL280" s="331" t="e">
        <f t="shared" si="82"/>
        <v>#DIV/0!</v>
      </c>
      <c r="AM280" s="331" t="e">
        <f t="shared" si="77"/>
        <v>#DIV/0!</v>
      </c>
      <c r="AN280" s="322">
        <f t="shared" si="83"/>
        <v>0</v>
      </c>
      <c r="AO280" s="323"/>
    </row>
    <row r="281" spans="2:41" s="314" customFormat="1" ht="15.75" hidden="1" x14ac:dyDescent="0.25">
      <c r="B281" s="321">
        <f t="shared" si="66"/>
        <v>2037</v>
      </c>
      <c r="C281" s="322">
        <v>0</v>
      </c>
      <c r="D281" s="322">
        <f t="shared" si="84"/>
        <v>0</v>
      </c>
      <c r="E281" s="331" t="e">
        <f t="shared" ref="E281:F288" si="87">E280*$K281/$K280</f>
        <v>#DIV/0!</v>
      </c>
      <c r="F281" s="331" t="e">
        <f t="shared" si="87"/>
        <v>#DIV/0!</v>
      </c>
      <c r="G281" s="331">
        <f t="shared" ref="G281:H288" si="88">G280</f>
        <v>0</v>
      </c>
      <c r="H281" s="331">
        <f t="shared" si="88"/>
        <v>0</v>
      </c>
      <c r="I281" s="335" t="e">
        <f t="shared" si="78"/>
        <v>#DIV/0!</v>
      </c>
      <c r="J281" s="331" t="e">
        <f t="shared" si="71"/>
        <v>#DIV/0!</v>
      </c>
      <c r="K281" s="322">
        <f t="shared" si="79"/>
        <v>0</v>
      </c>
      <c r="L281" s="323"/>
      <c r="O281" s="346"/>
      <c r="P281" s="321">
        <f t="shared" si="67"/>
        <v>2037</v>
      </c>
      <c r="Q281" s="322">
        <v>0</v>
      </c>
      <c r="R281" s="322">
        <f t="shared" si="85"/>
        <v>0</v>
      </c>
      <c r="S281" s="331" t="e">
        <f t="shared" ref="S281:T288" si="89">S280*$K281/$K280</f>
        <v>#DIV/0!</v>
      </c>
      <c r="T281" s="331" t="e">
        <f t="shared" si="89"/>
        <v>#DIV/0!</v>
      </c>
      <c r="U281" s="331">
        <f t="shared" ref="U281:V288" si="90">U280</f>
        <v>0</v>
      </c>
      <c r="V281" s="331">
        <f t="shared" si="90"/>
        <v>0</v>
      </c>
      <c r="W281" s="331" t="e">
        <f t="shared" si="80"/>
        <v>#DIV/0!</v>
      </c>
      <c r="X281" s="331"/>
      <c r="Y281" s="331" t="e">
        <f t="shared" si="74"/>
        <v>#DIV/0!</v>
      </c>
      <c r="Z281" s="322">
        <f t="shared" si="81"/>
        <v>0</v>
      </c>
      <c r="AA281" s="323"/>
      <c r="AD281" s="346"/>
      <c r="AE281" s="321">
        <f t="shared" si="68"/>
        <v>2031</v>
      </c>
      <c r="AF281" s="322">
        <v>0</v>
      </c>
      <c r="AG281" s="322">
        <f t="shared" si="86"/>
        <v>0</v>
      </c>
      <c r="AH281" s="331" t="e">
        <f t="shared" ref="AH281:AI288" si="91">AH280*$K281/$K280</f>
        <v>#DIV/0!</v>
      </c>
      <c r="AI281" s="331" t="e">
        <f t="shared" si="91"/>
        <v>#DIV/0!</v>
      </c>
      <c r="AJ281" s="331">
        <f t="shared" ref="AJ281:AK288" si="92">AJ280</f>
        <v>0</v>
      </c>
      <c r="AK281" s="331">
        <f t="shared" si="92"/>
        <v>0</v>
      </c>
      <c r="AL281" s="331" t="e">
        <f t="shared" si="82"/>
        <v>#DIV/0!</v>
      </c>
      <c r="AM281" s="331" t="e">
        <f t="shared" si="77"/>
        <v>#DIV/0!</v>
      </c>
      <c r="AN281" s="322">
        <f t="shared" si="83"/>
        <v>0</v>
      </c>
      <c r="AO281" s="323"/>
    </row>
    <row r="282" spans="2:41" s="314" customFormat="1" ht="15.75" hidden="1" x14ac:dyDescent="0.25">
      <c r="B282" s="321">
        <f t="shared" si="66"/>
        <v>2038</v>
      </c>
      <c r="C282" s="322">
        <v>0</v>
      </c>
      <c r="D282" s="322">
        <f t="shared" si="84"/>
        <v>0</v>
      </c>
      <c r="E282" s="331" t="e">
        <f t="shared" si="87"/>
        <v>#DIV/0!</v>
      </c>
      <c r="F282" s="331" t="e">
        <f t="shared" si="87"/>
        <v>#DIV/0!</v>
      </c>
      <c r="G282" s="331">
        <f t="shared" si="88"/>
        <v>0</v>
      </c>
      <c r="H282" s="331">
        <f t="shared" si="88"/>
        <v>0</v>
      </c>
      <c r="I282" s="335" t="e">
        <f t="shared" si="78"/>
        <v>#DIV/0!</v>
      </c>
      <c r="J282" s="331" t="e">
        <f t="shared" si="71"/>
        <v>#DIV/0!</v>
      </c>
      <c r="K282" s="322">
        <f t="shared" si="79"/>
        <v>0</v>
      </c>
      <c r="L282" s="323"/>
      <c r="O282" s="346"/>
      <c r="P282" s="321">
        <f t="shared" si="67"/>
        <v>2038</v>
      </c>
      <c r="Q282" s="322">
        <v>0</v>
      </c>
      <c r="R282" s="322">
        <f t="shared" si="85"/>
        <v>0</v>
      </c>
      <c r="S282" s="331" t="e">
        <f t="shared" si="89"/>
        <v>#DIV/0!</v>
      </c>
      <c r="T282" s="331" t="e">
        <f t="shared" si="89"/>
        <v>#DIV/0!</v>
      </c>
      <c r="U282" s="331">
        <f t="shared" si="90"/>
        <v>0</v>
      </c>
      <c r="V282" s="331">
        <f t="shared" si="90"/>
        <v>0</v>
      </c>
      <c r="W282" s="331" t="e">
        <f t="shared" si="80"/>
        <v>#DIV/0!</v>
      </c>
      <c r="X282" s="331"/>
      <c r="Y282" s="331" t="e">
        <f t="shared" si="74"/>
        <v>#DIV/0!</v>
      </c>
      <c r="Z282" s="322">
        <f t="shared" si="81"/>
        <v>0</v>
      </c>
      <c r="AA282" s="323"/>
      <c r="AD282" s="346"/>
      <c r="AE282" s="321">
        <f t="shared" si="68"/>
        <v>2032</v>
      </c>
      <c r="AF282" s="322">
        <v>0</v>
      </c>
      <c r="AG282" s="322">
        <f t="shared" si="86"/>
        <v>0</v>
      </c>
      <c r="AH282" s="331" t="e">
        <f t="shared" si="91"/>
        <v>#DIV/0!</v>
      </c>
      <c r="AI282" s="331" t="e">
        <f t="shared" si="91"/>
        <v>#DIV/0!</v>
      </c>
      <c r="AJ282" s="331">
        <f t="shared" si="92"/>
        <v>0</v>
      </c>
      <c r="AK282" s="331">
        <f t="shared" si="92"/>
        <v>0</v>
      </c>
      <c r="AL282" s="331" t="e">
        <f t="shared" si="82"/>
        <v>#DIV/0!</v>
      </c>
      <c r="AM282" s="331" t="e">
        <f t="shared" si="77"/>
        <v>#DIV/0!</v>
      </c>
      <c r="AN282" s="322">
        <f t="shared" si="83"/>
        <v>0</v>
      </c>
      <c r="AO282" s="323"/>
    </row>
    <row r="283" spans="2:41" s="314" customFormat="1" ht="15.75" hidden="1" x14ac:dyDescent="0.25">
      <c r="B283" s="321">
        <f t="shared" si="66"/>
        <v>2039</v>
      </c>
      <c r="C283" s="322">
        <v>0</v>
      </c>
      <c r="D283" s="322">
        <f t="shared" si="84"/>
        <v>0</v>
      </c>
      <c r="E283" s="331" t="e">
        <f t="shared" si="87"/>
        <v>#DIV/0!</v>
      </c>
      <c r="F283" s="331" t="e">
        <f t="shared" si="87"/>
        <v>#DIV/0!</v>
      </c>
      <c r="G283" s="331">
        <f t="shared" si="88"/>
        <v>0</v>
      </c>
      <c r="H283" s="331">
        <f t="shared" si="88"/>
        <v>0</v>
      </c>
      <c r="I283" s="335" t="e">
        <f t="shared" si="78"/>
        <v>#DIV/0!</v>
      </c>
      <c r="J283" s="331" t="e">
        <f t="shared" si="71"/>
        <v>#DIV/0!</v>
      </c>
      <c r="K283" s="322">
        <f t="shared" si="79"/>
        <v>0</v>
      </c>
      <c r="L283" s="323"/>
      <c r="O283" s="346"/>
      <c r="P283" s="321">
        <f t="shared" si="67"/>
        <v>2039</v>
      </c>
      <c r="Q283" s="322">
        <v>0</v>
      </c>
      <c r="R283" s="322">
        <f t="shared" si="85"/>
        <v>0</v>
      </c>
      <c r="S283" s="331" t="e">
        <f t="shared" si="89"/>
        <v>#DIV/0!</v>
      </c>
      <c r="T283" s="331" t="e">
        <f t="shared" si="89"/>
        <v>#DIV/0!</v>
      </c>
      <c r="U283" s="331">
        <f t="shared" si="90"/>
        <v>0</v>
      </c>
      <c r="V283" s="331">
        <f t="shared" si="90"/>
        <v>0</v>
      </c>
      <c r="W283" s="331" t="e">
        <f t="shared" si="80"/>
        <v>#DIV/0!</v>
      </c>
      <c r="X283" s="331"/>
      <c r="Y283" s="331" t="e">
        <f t="shared" si="74"/>
        <v>#DIV/0!</v>
      </c>
      <c r="Z283" s="322">
        <f t="shared" si="81"/>
        <v>0</v>
      </c>
      <c r="AA283" s="323"/>
      <c r="AD283" s="346"/>
      <c r="AE283" s="321">
        <f t="shared" si="68"/>
        <v>2033</v>
      </c>
      <c r="AF283" s="322">
        <v>0</v>
      </c>
      <c r="AG283" s="322">
        <f t="shared" si="86"/>
        <v>0</v>
      </c>
      <c r="AH283" s="331" t="e">
        <f t="shared" si="91"/>
        <v>#DIV/0!</v>
      </c>
      <c r="AI283" s="331" t="e">
        <f t="shared" si="91"/>
        <v>#DIV/0!</v>
      </c>
      <c r="AJ283" s="331">
        <f t="shared" si="92"/>
        <v>0</v>
      </c>
      <c r="AK283" s="331">
        <f t="shared" si="92"/>
        <v>0</v>
      </c>
      <c r="AL283" s="331" t="e">
        <f t="shared" si="82"/>
        <v>#DIV/0!</v>
      </c>
      <c r="AM283" s="331" t="e">
        <f t="shared" si="77"/>
        <v>#DIV/0!</v>
      </c>
      <c r="AN283" s="322">
        <f t="shared" si="83"/>
        <v>0</v>
      </c>
      <c r="AO283" s="323"/>
    </row>
    <row r="284" spans="2:41" s="314" customFormat="1" ht="15.75" hidden="1" x14ac:dyDescent="0.25">
      <c r="B284" s="321">
        <f t="shared" si="66"/>
        <v>2040</v>
      </c>
      <c r="C284" s="322">
        <v>0</v>
      </c>
      <c r="D284" s="322">
        <f t="shared" si="84"/>
        <v>0</v>
      </c>
      <c r="E284" s="331" t="e">
        <f t="shared" si="87"/>
        <v>#DIV/0!</v>
      </c>
      <c r="F284" s="331" t="e">
        <f t="shared" si="87"/>
        <v>#DIV/0!</v>
      </c>
      <c r="G284" s="331">
        <f t="shared" si="88"/>
        <v>0</v>
      </c>
      <c r="H284" s="331">
        <f t="shared" si="88"/>
        <v>0</v>
      </c>
      <c r="I284" s="335" t="e">
        <f t="shared" si="78"/>
        <v>#DIV/0!</v>
      </c>
      <c r="J284" s="331" t="e">
        <f t="shared" si="71"/>
        <v>#DIV/0!</v>
      </c>
      <c r="K284" s="322">
        <f t="shared" si="79"/>
        <v>0</v>
      </c>
      <c r="L284" s="323"/>
      <c r="O284" s="346"/>
      <c r="P284" s="321">
        <f t="shared" si="67"/>
        <v>2040</v>
      </c>
      <c r="Q284" s="322">
        <v>0</v>
      </c>
      <c r="R284" s="322">
        <f t="shared" si="85"/>
        <v>0</v>
      </c>
      <c r="S284" s="331" t="e">
        <f t="shared" si="89"/>
        <v>#DIV/0!</v>
      </c>
      <c r="T284" s="331" t="e">
        <f t="shared" si="89"/>
        <v>#DIV/0!</v>
      </c>
      <c r="U284" s="331">
        <f t="shared" si="90"/>
        <v>0</v>
      </c>
      <c r="V284" s="331">
        <f t="shared" si="90"/>
        <v>0</v>
      </c>
      <c r="W284" s="331" t="e">
        <f t="shared" si="80"/>
        <v>#DIV/0!</v>
      </c>
      <c r="X284" s="331"/>
      <c r="Y284" s="331" t="e">
        <f t="shared" si="74"/>
        <v>#DIV/0!</v>
      </c>
      <c r="Z284" s="322">
        <f t="shared" si="81"/>
        <v>0</v>
      </c>
      <c r="AA284" s="323"/>
      <c r="AD284" s="346"/>
      <c r="AE284" s="321">
        <f t="shared" si="68"/>
        <v>2034</v>
      </c>
      <c r="AF284" s="322">
        <v>0</v>
      </c>
      <c r="AG284" s="322">
        <f t="shared" si="86"/>
        <v>0</v>
      </c>
      <c r="AH284" s="331" t="e">
        <f t="shared" si="91"/>
        <v>#DIV/0!</v>
      </c>
      <c r="AI284" s="331" t="e">
        <f t="shared" si="91"/>
        <v>#DIV/0!</v>
      </c>
      <c r="AJ284" s="331">
        <f t="shared" si="92"/>
        <v>0</v>
      </c>
      <c r="AK284" s="331">
        <f t="shared" si="92"/>
        <v>0</v>
      </c>
      <c r="AL284" s="331" t="e">
        <f t="shared" si="82"/>
        <v>#DIV/0!</v>
      </c>
      <c r="AM284" s="331" t="e">
        <f t="shared" si="77"/>
        <v>#DIV/0!</v>
      </c>
      <c r="AN284" s="322">
        <f t="shared" si="83"/>
        <v>0</v>
      </c>
      <c r="AO284" s="323"/>
    </row>
    <row r="285" spans="2:41" s="314" customFormat="1" ht="15.75" hidden="1" x14ac:dyDescent="0.25">
      <c r="B285" s="321">
        <f t="shared" si="66"/>
        <v>2041</v>
      </c>
      <c r="C285" s="322">
        <v>0</v>
      </c>
      <c r="D285" s="322">
        <f t="shared" si="84"/>
        <v>0</v>
      </c>
      <c r="E285" s="331" t="e">
        <f t="shared" si="87"/>
        <v>#DIV/0!</v>
      </c>
      <c r="F285" s="331" t="e">
        <f t="shared" si="87"/>
        <v>#DIV/0!</v>
      </c>
      <c r="G285" s="331">
        <f t="shared" si="88"/>
        <v>0</v>
      </c>
      <c r="H285" s="331">
        <f t="shared" si="88"/>
        <v>0</v>
      </c>
      <c r="I285" s="335" t="e">
        <f t="shared" si="78"/>
        <v>#DIV/0!</v>
      </c>
      <c r="J285" s="331" t="e">
        <f t="shared" si="71"/>
        <v>#DIV/0!</v>
      </c>
      <c r="K285" s="322">
        <f t="shared" si="79"/>
        <v>0</v>
      </c>
      <c r="L285" s="323"/>
      <c r="O285" s="346"/>
      <c r="P285" s="321">
        <f t="shared" si="67"/>
        <v>2041</v>
      </c>
      <c r="Q285" s="322">
        <v>0</v>
      </c>
      <c r="R285" s="322">
        <f t="shared" si="85"/>
        <v>0</v>
      </c>
      <c r="S285" s="331" t="e">
        <f t="shared" si="89"/>
        <v>#DIV/0!</v>
      </c>
      <c r="T285" s="331" t="e">
        <f t="shared" si="89"/>
        <v>#DIV/0!</v>
      </c>
      <c r="U285" s="331">
        <f t="shared" si="90"/>
        <v>0</v>
      </c>
      <c r="V285" s="331">
        <f t="shared" si="90"/>
        <v>0</v>
      </c>
      <c r="W285" s="331" t="e">
        <f t="shared" si="80"/>
        <v>#DIV/0!</v>
      </c>
      <c r="X285" s="331"/>
      <c r="Y285" s="331" t="e">
        <f t="shared" si="74"/>
        <v>#DIV/0!</v>
      </c>
      <c r="Z285" s="322">
        <f t="shared" si="81"/>
        <v>0</v>
      </c>
      <c r="AA285" s="323"/>
      <c r="AD285" s="346"/>
      <c r="AE285" s="321">
        <f t="shared" si="68"/>
        <v>2035</v>
      </c>
      <c r="AF285" s="322">
        <v>0</v>
      </c>
      <c r="AG285" s="322">
        <f t="shared" si="86"/>
        <v>0</v>
      </c>
      <c r="AH285" s="331" t="e">
        <f t="shared" si="91"/>
        <v>#DIV/0!</v>
      </c>
      <c r="AI285" s="331" t="e">
        <f t="shared" si="91"/>
        <v>#DIV/0!</v>
      </c>
      <c r="AJ285" s="331">
        <f t="shared" si="92"/>
        <v>0</v>
      </c>
      <c r="AK285" s="331">
        <f t="shared" si="92"/>
        <v>0</v>
      </c>
      <c r="AL285" s="331" t="e">
        <f t="shared" si="82"/>
        <v>#DIV/0!</v>
      </c>
      <c r="AM285" s="331" t="e">
        <f t="shared" si="77"/>
        <v>#DIV/0!</v>
      </c>
      <c r="AN285" s="322">
        <f t="shared" si="83"/>
        <v>0</v>
      </c>
      <c r="AO285" s="323"/>
    </row>
    <row r="286" spans="2:41" s="314" customFormat="1" ht="15.75" hidden="1" x14ac:dyDescent="0.25">
      <c r="B286" s="321">
        <f t="shared" si="66"/>
        <v>2042</v>
      </c>
      <c r="C286" s="322">
        <v>0</v>
      </c>
      <c r="D286" s="322">
        <f t="shared" si="84"/>
        <v>0</v>
      </c>
      <c r="E286" s="331" t="e">
        <f t="shared" si="87"/>
        <v>#DIV/0!</v>
      </c>
      <c r="F286" s="331" t="e">
        <f t="shared" si="87"/>
        <v>#DIV/0!</v>
      </c>
      <c r="G286" s="331">
        <f t="shared" si="88"/>
        <v>0</v>
      </c>
      <c r="H286" s="331">
        <f t="shared" si="88"/>
        <v>0</v>
      </c>
      <c r="I286" s="335" t="e">
        <f t="shared" si="78"/>
        <v>#DIV/0!</v>
      </c>
      <c r="J286" s="331" t="e">
        <f t="shared" si="71"/>
        <v>#DIV/0!</v>
      </c>
      <c r="K286" s="322">
        <f t="shared" si="79"/>
        <v>0</v>
      </c>
      <c r="L286" s="323"/>
      <c r="O286" s="346"/>
      <c r="P286" s="321">
        <f t="shared" si="67"/>
        <v>2042</v>
      </c>
      <c r="Q286" s="322">
        <v>0</v>
      </c>
      <c r="R286" s="322">
        <f t="shared" si="85"/>
        <v>0</v>
      </c>
      <c r="S286" s="331" t="e">
        <f t="shared" si="89"/>
        <v>#DIV/0!</v>
      </c>
      <c r="T286" s="331" t="e">
        <f t="shared" si="89"/>
        <v>#DIV/0!</v>
      </c>
      <c r="U286" s="331">
        <f t="shared" si="90"/>
        <v>0</v>
      </c>
      <c r="V286" s="331">
        <f t="shared" si="90"/>
        <v>0</v>
      </c>
      <c r="W286" s="331" t="e">
        <f t="shared" si="80"/>
        <v>#DIV/0!</v>
      </c>
      <c r="X286" s="331"/>
      <c r="Y286" s="331" t="e">
        <f t="shared" si="74"/>
        <v>#DIV/0!</v>
      </c>
      <c r="Z286" s="322">
        <f t="shared" si="81"/>
        <v>0</v>
      </c>
      <c r="AA286" s="323"/>
      <c r="AD286" s="346"/>
      <c r="AE286" s="321">
        <f t="shared" si="68"/>
        <v>2036</v>
      </c>
      <c r="AF286" s="322">
        <v>0</v>
      </c>
      <c r="AG286" s="322">
        <f t="shared" si="86"/>
        <v>0</v>
      </c>
      <c r="AH286" s="331" t="e">
        <f t="shared" si="91"/>
        <v>#DIV/0!</v>
      </c>
      <c r="AI286" s="331" t="e">
        <f t="shared" si="91"/>
        <v>#DIV/0!</v>
      </c>
      <c r="AJ286" s="331">
        <f t="shared" si="92"/>
        <v>0</v>
      </c>
      <c r="AK286" s="331">
        <f t="shared" si="92"/>
        <v>0</v>
      </c>
      <c r="AL286" s="331" t="e">
        <f t="shared" si="82"/>
        <v>#DIV/0!</v>
      </c>
      <c r="AM286" s="331" t="e">
        <f t="shared" si="77"/>
        <v>#DIV/0!</v>
      </c>
      <c r="AN286" s="322">
        <f t="shared" si="83"/>
        <v>0</v>
      </c>
      <c r="AO286" s="323"/>
    </row>
    <row r="287" spans="2:41" s="314" customFormat="1" ht="15.75" hidden="1" x14ac:dyDescent="0.25">
      <c r="B287" s="321">
        <v>2037</v>
      </c>
      <c r="C287" s="322">
        <v>0</v>
      </c>
      <c r="D287" s="322">
        <f t="shared" si="84"/>
        <v>0</v>
      </c>
      <c r="E287" s="331" t="e">
        <f t="shared" si="87"/>
        <v>#DIV/0!</v>
      </c>
      <c r="F287" s="331" t="e">
        <f t="shared" si="87"/>
        <v>#DIV/0!</v>
      </c>
      <c r="G287" s="331">
        <f t="shared" si="88"/>
        <v>0</v>
      </c>
      <c r="H287" s="331">
        <f t="shared" si="88"/>
        <v>0</v>
      </c>
      <c r="I287" s="335" t="e">
        <f t="shared" si="78"/>
        <v>#DIV/0!</v>
      </c>
      <c r="J287" s="331" t="e">
        <f t="shared" si="71"/>
        <v>#DIV/0!</v>
      </c>
      <c r="K287" s="322">
        <f t="shared" si="79"/>
        <v>0</v>
      </c>
      <c r="L287" s="323"/>
      <c r="O287" s="346"/>
      <c r="P287" s="321">
        <v>2037</v>
      </c>
      <c r="Q287" s="322">
        <v>0</v>
      </c>
      <c r="R287" s="322">
        <f t="shared" si="85"/>
        <v>0</v>
      </c>
      <c r="S287" s="331" t="e">
        <f t="shared" si="89"/>
        <v>#DIV/0!</v>
      </c>
      <c r="T287" s="331" t="e">
        <f t="shared" si="89"/>
        <v>#DIV/0!</v>
      </c>
      <c r="U287" s="331">
        <f t="shared" si="90"/>
        <v>0</v>
      </c>
      <c r="V287" s="331">
        <f t="shared" si="90"/>
        <v>0</v>
      </c>
      <c r="W287" s="331" t="e">
        <f t="shared" si="80"/>
        <v>#DIV/0!</v>
      </c>
      <c r="X287" s="331"/>
      <c r="Y287" s="331" t="e">
        <f t="shared" si="74"/>
        <v>#DIV/0!</v>
      </c>
      <c r="Z287" s="322">
        <f t="shared" si="81"/>
        <v>0</v>
      </c>
      <c r="AA287" s="323"/>
      <c r="AD287" s="346"/>
      <c r="AE287" s="321">
        <v>2037</v>
      </c>
      <c r="AF287" s="322">
        <v>0</v>
      </c>
      <c r="AG287" s="322">
        <f t="shared" si="86"/>
        <v>0</v>
      </c>
      <c r="AH287" s="331" t="e">
        <f t="shared" si="91"/>
        <v>#DIV/0!</v>
      </c>
      <c r="AI287" s="331" t="e">
        <f t="shared" si="91"/>
        <v>#DIV/0!</v>
      </c>
      <c r="AJ287" s="331">
        <f t="shared" si="92"/>
        <v>0</v>
      </c>
      <c r="AK287" s="331">
        <f t="shared" si="92"/>
        <v>0</v>
      </c>
      <c r="AL287" s="331" t="e">
        <f t="shared" si="82"/>
        <v>#DIV/0!</v>
      </c>
      <c r="AM287" s="331" t="e">
        <f t="shared" si="77"/>
        <v>#DIV/0!</v>
      </c>
      <c r="AN287" s="322">
        <f t="shared" si="83"/>
        <v>0</v>
      </c>
      <c r="AO287" s="323"/>
    </row>
    <row r="288" spans="2:41" s="314" customFormat="1" ht="15.75" hidden="1" x14ac:dyDescent="0.25">
      <c r="B288" s="321">
        <v>2038</v>
      </c>
      <c r="C288" s="322">
        <v>0</v>
      </c>
      <c r="D288" s="322">
        <f t="shared" si="84"/>
        <v>0</v>
      </c>
      <c r="E288" s="331" t="e">
        <f t="shared" si="87"/>
        <v>#DIV/0!</v>
      </c>
      <c r="F288" s="331" t="e">
        <f t="shared" si="87"/>
        <v>#DIV/0!</v>
      </c>
      <c r="G288" s="331">
        <f t="shared" si="88"/>
        <v>0</v>
      </c>
      <c r="H288" s="331">
        <f t="shared" si="88"/>
        <v>0</v>
      </c>
      <c r="I288" s="335" t="e">
        <f t="shared" si="78"/>
        <v>#DIV/0!</v>
      </c>
      <c r="J288" s="331" t="e">
        <f t="shared" si="71"/>
        <v>#DIV/0!</v>
      </c>
      <c r="K288" s="322">
        <f t="shared" si="79"/>
        <v>0</v>
      </c>
      <c r="L288" s="323"/>
      <c r="O288" s="346"/>
      <c r="P288" s="321">
        <v>2038</v>
      </c>
      <c r="Q288" s="322">
        <v>0</v>
      </c>
      <c r="R288" s="322">
        <f t="shared" si="85"/>
        <v>0</v>
      </c>
      <c r="S288" s="331" t="e">
        <f t="shared" si="89"/>
        <v>#DIV/0!</v>
      </c>
      <c r="T288" s="331" t="e">
        <f t="shared" si="89"/>
        <v>#DIV/0!</v>
      </c>
      <c r="U288" s="331">
        <f t="shared" si="90"/>
        <v>0</v>
      </c>
      <c r="V288" s="331">
        <f t="shared" si="90"/>
        <v>0</v>
      </c>
      <c r="W288" s="331" t="e">
        <f t="shared" si="80"/>
        <v>#DIV/0!</v>
      </c>
      <c r="X288" s="331"/>
      <c r="Y288" s="331" t="e">
        <f t="shared" si="74"/>
        <v>#DIV/0!</v>
      </c>
      <c r="Z288" s="322">
        <f t="shared" si="81"/>
        <v>0</v>
      </c>
      <c r="AA288" s="323"/>
      <c r="AD288" s="346"/>
      <c r="AE288" s="321">
        <v>2038</v>
      </c>
      <c r="AF288" s="322">
        <v>0</v>
      </c>
      <c r="AG288" s="322">
        <f t="shared" si="86"/>
        <v>0</v>
      </c>
      <c r="AH288" s="331" t="e">
        <f t="shared" si="91"/>
        <v>#DIV/0!</v>
      </c>
      <c r="AI288" s="331" t="e">
        <f t="shared" si="91"/>
        <v>#DIV/0!</v>
      </c>
      <c r="AJ288" s="331">
        <f t="shared" si="92"/>
        <v>0</v>
      </c>
      <c r="AK288" s="331">
        <f t="shared" si="92"/>
        <v>0</v>
      </c>
      <c r="AL288" s="331" t="e">
        <f t="shared" si="82"/>
        <v>#DIV/0!</v>
      </c>
      <c r="AM288" s="331" t="e">
        <f t="shared" si="77"/>
        <v>#DIV/0!</v>
      </c>
      <c r="AN288" s="322">
        <f t="shared" si="83"/>
        <v>0</v>
      </c>
      <c r="AO288" s="323"/>
    </row>
    <row r="289" spans="2:41" s="314" customFormat="1" ht="15.75" hidden="1" x14ac:dyDescent="0.25">
      <c r="B289" s="338" t="s">
        <v>261</v>
      </c>
      <c r="C289" s="322">
        <f>-SUM(C259:C263)+25*(SUM(C260:C263)/40)</f>
        <v>0</v>
      </c>
      <c r="D289" s="322">
        <f>-SUM(D278:D282)+6*(SUM(D278:D282)/15)</f>
        <v>0</v>
      </c>
      <c r="E289" s="322">
        <v>0</v>
      </c>
      <c r="F289" s="322">
        <v>0</v>
      </c>
      <c r="G289" s="331">
        <v>0</v>
      </c>
      <c r="H289" s="331">
        <v>0</v>
      </c>
      <c r="I289" s="331">
        <v>0</v>
      </c>
      <c r="J289" s="331">
        <f t="shared" si="71"/>
        <v>0</v>
      </c>
      <c r="K289" s="322">
        <v>0</v>
      </c>
      <c r="L289" s="323"/>
      <c r="O289" s="346"/>
      <c r="P289" s="338" t="s">
        <v>261</v>
      </c>
      <c r="Q289" s="322">
        <f>-SUM(Q259:Q263)+25*(SUM(Q260:Q263)/40)</f>
        <v>0</v>
      </c>
      <c r="R289" s="322">
        <f>-SUM(R278:R282)+6*(SUM(R278:R282)/15)</f>
        <v>0</v>
      </c>
      <c r="S289" s="322">
        <v>0</v>
      </c>
      <c r="T289" s="322">
        <v>0</v>
      </c>
      <c r="U289" s="331">
        <v>0</v>
      </c>
      <c r="V289" s="331">
        <v>0</v>
      </c>
      <c r="W289" s="331">
        <v>0</v>
      </c>
      <c r="X289" s="331"/>
      <c r="Y289" s="331">
        <f t="shared" si="74"/>
        <v>0</v>
      </c>
      <c r="Z289" s="322">
        <v>0</v>
      </c>
      <c r="AA289" s="323"/>
      <c r="AD289" s="346"/>
      <c r="AE289" s="338" t="s">
        <v>261</v>
      </c>
      <c r="AF289" s="322">
        <f>-SUM(AF259:AF263)+25*(SUM(AF260:AF263)/40)</f>
        <v>0</v>
      </c>
      <c r="AG289" s="322">
        <f>-SUM(AG278:AG282)+6*(SUM(AG278:AG282)/15)</f>
        <v>0</v>
      </c>
      <c r="AH289" s="322">
        <v>0</v>
      </c>
      <c r="AI289" s="322">
        <v>0</v>
      </c>
      <c r="AJ289" s="331">
        <v>0</v>
      </c>
      <c r="AK289" s="331">
        <v>0</v>
      </c>
      <c r="AL289" s="331">
        <v>0</v>
      </c>
      <c r="AM289" s="331">
        <f t="shared" si="77"/>
        <v>0</v>
      </c>
      <c r="AN289" s="322">
        <v>0</v>
      </c>
      <c r="AO289" s="323"/>
    </row>
    <row r="290" spans="2:41" s="314" customFormat="1" ht="15.75" hidden="1" x14ac:dyDescent="0.25">
      <c r="B290" s="320" t="s">
        <v>295</v>
      </c>
      <c r="C290" s="339">
        <f>C259+NPV(0,C260:C289)</f>
        <v>0</v>
      </c>
      <c r="D290" s="339">
        <f>D259+NPV(0,D260:D289)</f>
        <v>0</v>
      </c>
      <c r="E290" s="339"/>
      <c r="F290" s="339"/>
      <c r="G290" s="339"/>
      <c r="H290" s="339"/>
      <c r="I290" s="339"/>
      <c r="J290" s="339" t="e">
        <f>J259+NPV(0,J260:J289)</f>
        <v>#DIV/0!</v>
      </c>
      <c r="K290" s="339">
        <f>K259+NPV(0,K260:K289)</f>
        <v>0</v>
      </c>
      <c r="L290" s="340" t="e">
        <f>+(C290+D290+J290)/K290</f>
        <v>#DIV/0!</v>
      </c>
      <c r="O290" s="346"/>
      <c r="P290" s="320" t="s">
        <v>295</v>
      </c>
      <c r="Q290" s="339">
        <f>Q259+NPV(0,Q260:Q289)</f>
        <v>0</v>
      </c>
      <c r="R290" s="339">
        <f>R259+NPV(0,R260:R289)</f>
        <v>0</v>
      </c>
      <c r="S290" s="339"/>
      <c r="T290" s="339"/>
      <c r="U290" s="339"/>
      <c r="V290" s="339"/>
      <c r="W290" s="339"/>
      <c r="X290" s="339"/>
      <c r="Y290" s="339" t="e">
        <f>Y259+NPV(0,Y260:Y289)</f>
        <v>#DIV/0!</v>
      </c>
      <c r="Z290" s="339">
        <f>Z259+NPV(0,Z260:Z289)</f>
        <v>0</v>
      </c>
      <c r="AA290" s="340" t="e">
        <f>+(Q290+R290+Y290)/Z290</f>
        <v>#DIV/0!</v>
      </c>
      <c r="AD290" s="346"/>
      <c r="AE290" s="320" t="s">
        <v>295</v>
      </c>
      <c r="AF290" s="339">
        <f>AF259+NPV(0,AF260:AF289)</f>
        <v>0</v>
      </c>
      <c r="AG290" s="339">
        <f>AG259+NPV(0,AG260:AG289)</f>
        <v>0</v>
      </c>
      <c r="AH290" s="339"/>
      <c r="AI290" s="339"/>
      <c r="AJ290" s="339"/>
      <c r="AK290" s="339"/>
      <c r="AL290" s="339"/>
      <c r="AM290" s="339" t="e">
        <f>AM259+NPV(0,AM260:AM289)</f>
        <v>#DIV/0!</v>
      </c>
      <c r="AN290" s="339">
        <f>AN259+NPV(0,AN260:AN289)</f>
        <v>0</v>
      </c>
      <c r="AO290" s="340" t="e">
        <f>+(AF290+AG290+AM290)/AN290</f>
        <v>#DIV/0!</v>
      </c>
    </row>
    <row r="291" spans="2:41" s="314" customFormat="1" ht="15.75" hidden="1" x14ac:dyDescent="0.25">
      <c r="B291" s="320" t="s">
        <v>294</v>
      </c>
      <c r="C291" s="339">
        <f>C259+NPV(0.05,C260:C289)</f>
        <v>0</v>
      </c>
      <c r="D291" s="339">
        <f>D259+NPV(0.05,D260:D289)</f>
        <v>0</v>
      </c>
      <c r="E291" s="339"/>
      <c r="F291" s="339"/>
      <c r="G291" s="339"/>
      <c r="H291" s="339"/>
      <c r="I291" s="339"/>
      <c r="J291" s="339" t="e">
        <f>J259+NPV(0.05,J260:J289)</f>
        <v>#DIV/0!</v>
      </c>
      <c r="K291" s="339">
        <f>K259+NPV(0.05,K260:K289)</f>
        <v>0</v>
      </c>
      <c r="L291" s="340" t="e">
        <f>+(C291+D291+J291)/K291</f>
        <v>#DIV/0!</v>
      </c>
      <c r="O291" s="346"/>
      <c r="P291" s="320" t="s">
        <v>294</v>
      </c>
      <c r="Q291" s="339">
        <f>Q259+NPV(0.05,Q260:Q289)</f>
        <v>0</v>
      </c>
      <c r="R291" s="339">
        <f>R259+NPV(0.05,R260:R289)</f>
        <v>0</v>
      </c>
      <c r="S291" s="339"/>
      <c r="T291" s="339"/>
      <c r="U291" s="339"/>
      <c r="V291" s="339"/>
      <c r="W291" s="339"/>
      <c r="X291" s="339"/>
      <c r="Y291" s="339" t="e">
        <f>Y259+NPV(0.05,Y260:Y289)</f>
        <v>#DIV/0!</v>
      </c>
      <c r="Z291" s="339">
        <f>Z259+NPV(0.05,Z260:Z289)</f>
        <v>0</v>
      </c>
      <c r="AA291" s="340" t="e">
        <f>+(Q291+R291+Y291)/Z291</f>
        <v>#DIV/0!</v>
      </c>
      <c r="AD291" s="346"/>
      <c r="AE291" s="320" t="s">
        <v>294</v>
      </c>
      <c r="AF291" s="339">
        <f>AF259+NPV(0.05,AF260:AF289)</f>
        <v>0</v>
      </c>
      <c r="AG291" s="339">
        <f>AG259+NPV(0.05,AG260:AG289)</f>
        <v>0</v>
      </c>
      <c r="AH291" s="339"/>
      <c r="AI291" s="339"/>
      <c r="AJ291" s="339"/>
      <c r="AK291" s="339"/>
      <c r="AL291" s="339"/>
      <c r="AM291" s="339" t="e">
        <f>AM259+NPV(0.05,AM260:AM289)</f>
        <v>#DIV/0!</v>
      </c>
      <c r="AN291" s="339">
        <f>AN259+NPV(0.05,AN260:AN289)</f>
        <v>0</v>
      </c>
      <c r="AO291" s="340" t="e">
        <f>+(AF291+AG291+AM291)/AN291</f>
        <v>#DIV/0!</v>
      </c>
    </row>
    <row r="292" spans="2:41" s="314" customFormat="1" ht="15.75" hidden="1" x14ac:dyDescent="0.25">
      <c r="B292" s="320" t="s">
        <v>296</v>
      </c>
      <c r="C292" s="339">
        <f>C259+NPV(0.1,C260:C289)</f>
        <v>0</v>
      </c>
      <c r="D292" s="339">
        <f>D259+NPV(0.1,D260:D289)</f>
        <v>0</v>
      </c>
      <c r="E292" s="339"/>
      <c r="F292" s="339"/>
      <c r="G292" s="339"/>
      <c r="H292" s="339"/>
      <c r="I292" s="339"/>
      <c r="J292" s="339" t="e">
        <f>J259+NPV(0.1,J260:J289)</f>
        <v>#DIV/0!</v>
      </c>
      <c r="K292" s="339">
        <f>K259+NPV(0.1,K260:K289)</f>
        <v>0</v>
      </c>
      <c r="L292" s="340" t="e">
        <f>+(C292+D292+J292)/K292</f>
        <v>#DIV/0!</v>
      </c>
      <c r="O292" s="346"/>
      <c r="P292" s="320" t="s">
        <v>296</v>
      </c>
      <c r="Q292" s="339">
        <f>Q259+NPV(0.1,Q260:Q289)</f>
        <v>0</v>
      </c>
      <c r="R292" s="339">
        <f>R259+NPV(0.1,R260:R289)</f>
        <v>0</v>
      </c>
      <c r="S292" s="339"/>
      <c r="T292" s="339"/>
      <c r="U292" s="339"/>
      <c r="V292" s="339"/>
      <c r="W292" s="339"/>
      <c r="X292" s="339"/>
      <c r="Y292" s="339" t="e">
        <f>Y259+NPV(0.1,Y260:Y289)</f>
        <v>#DIV/0!</v>
      </c>
      <c r="Z292" s="339">
        <f>Z259+NPV(0.1,Z260:Z289)</f>
        <v>0</v>
      </c>
      <c r="AA292" s="340" t="e">
        <f>+(Q292+R292+Y292)/Z292</f>
        <v>#DIV/0!</v>
      </c>
      <c r="AD292" s="346"/>
      <c r="AE292" s="320" t="s">
        <v>296</v>
      </c>
      <c r="AF292" s="339">
        <f>AF259+NPV(0.1,AF260:AF289)</f>
        <v>0</v>
      </c>
      <c r="AG292" s="339">
        <f>AG259+NPV(0.1,AG260:AG289)</f>
        <v>0</v>
      </c>
      <c r="AH292" s="339"/>
      <c r="AI292" s="339"/>
      <c r="AJ292" s="339"/>
      <c r="AK292" s="339"/>
      <c r="AL292" s="339"/>
      <c r="AM292" s="339" t="e">
        <f>AM259+NPV(0.1,AM260:AM289)</f>
        <v>#DIV/0!</v>
      </c>
      <c r="AN292" s="339">
        <f>AN259+NPV(0.1,AN260:AN289)</f>
        <v>0</v>
      </c>
      <c r="AO292" s="340" t="e">
        <f>+(AF292+AG292+AM292)/AN292</f>
        <v>#DIV/0!</v>
      </c>
    </row>
    <row r="293" spans="2:41" hidden="1" x14ac:dyDescent="0.2"/>
    <row r="294" spans="2:41" s="306" customFormat="1" ht="9.6" hidden="1" customHeight="1" x14ac:dyDescent="0.2"/>
    <row r="295" spans="2:41" hidden="1" x14ac:dyDescent="0.2"/>
    <row r="296" spans="2:41" ht="15" hidden="1" x14ac:dyDescent="0.25">
      <c r="B296" s="276" t="s">
        <v>171</v>
      </c>
    </row>
    <row r="297" spans="2:41" hidden="1" x14ac:dyDescent="0.2"/>
    <row r="298" spans="2:41" ht="15" hidden="1" x14ac:dyDescent="0.25">
      <c r="B298" s="282" t="str">
        <f>B6</f>
        <v>Analysis 1</v>
      </c>
      <c r="C298" s="302" t="s">
        <v>174</v>
      </c>
      <c r="D298" s="302" t="s">
        <v>175</v>
      </c>
      <c r="E298" s="348"/>
      <c r="F298" s="292"/>
      <c r="G298" s="349"/>
      <c r="H298" s="348"/>
      <c r="I298" s="348"/>
      <c r="J298" s="348"/>
    </row>
    <row r="299" spans="2:41" ht="15.75" hidden="1" x14ac:dyDescent="0.25">
      <c r="B299" s="350" t="s">
        <v>262</v>
      </c>
      <c r="C299" s="351" t="e">
        <f>K155</f>
        <v>#DIV/0!</v>
      </c>
      <c r="D299" s="351" t="e">
        <f>Y155</f>
        <v>#DIV/0!</v>
      </c>
      <c r="E299" s="352"/>
      <c r="F299" s="292"/>
      <c r="G299" s="319"/>
      <c r="H299" s="353"/>
      <c r="I299" s="353"/>
      <c r="J299" s="353"/>
    </row>
    <row r="300" spans="2:41" hidden="1" x14ac:dyDescent="0.2">
      <c r="E300" s="292"/>
    </row>
    <row r="302" spans="2:41" ht="15" x14ac:dyDescent="0.25">
      <c r="B302" s="276" t="s">
        <v>297</v>
      </c>
    </row>
    <row r="304" spans="2:41" s="309" customFormat="1" ht="15" x14ac:dyDescent="0.25">
      <c r="B304" s="395" t="str">
        <f>B56</f>
        <v>Analiza 1</v>
      </c>
      <c r="C304" s="396" t="str">
        <f>D56</f>
        <v>Optiunea 1</v>
      </c>
      <c r="D304" s="396" t="str">
        <f>E56</f>
        <v>Optiunea 2</v>
      </c>
    </row>
    <row r="305" spans="2:6" s="309" customFormat="1" ht="15.75" x14ac:dyDescent="0.25">
      <c r="B305" s="397" t="s">
        <v>298</v>
      </c>
      <c r="C305" s="398">
        <f>L246</f>
        <v>1.0134684038476294</v>
      </c>
      <c r="D305" s="398">
        <f>AA246</f>
        <v>5.1200663740433104E-2</v>
      </c>
    </row>
    <row r="306" spans="2:6" s="309" customFormat="1" ht="15.75" x14ac:dyDescent="0.25">
      <c r="B306" s="397" t="s">
        <v>293</v>
      </c>
      <c r="C306" s="399">
        <f>C246+D246+J246</f>
        <v>2129721.7433606032</v>
      </c>
      <c r="D306" s="399">
        <f>Q246+R246+Y246</f>
        <v>107594.04676900947</v>
      </c>
    </row>
    <row r="308" spans="2:6" ht="16.5" hidden="1" customHeight="1" x14ac:dyDescent="0.2">
      <c r="B308" s="1036" t="s">
        <v>299</v>
      </c>
      <c r="C308" s="1039"/>
      <c r="D308" s="1040"/>
      <c r="E308" s="1041"/>
      <c r="F308" s="1036"/>
    </row>
    <row r="309" spans="2:6" ht="32.25" hidden="1" customHeight="1" x14ac:dyDescent="0.2">
      <c r="B309" s="1037"/>
      <c r="C309" s="355"/>
      <c r="D309" s="355"/>
      <c r="E309" s="355"/>
      <c r="F309" s="1038"/>
    </row>
    <row r="310" spans="2:6" ht="16.5" hidden="1" customHeight="1" x14ac:dyDescent="0.2">
      <c r="B310" s="1038"/>
      <c r="C310" s="355"/>
      <c r="D310" s="355"/>
      <c r="E310" s="355"/>
      <c r="F310" s="355"/>
    </row>
    <row r="311" spans="2:6" ht="16.5" hidden="1" customHeight="1" x14ac:dyDescent="0.2">
      <c r="B311" s="356" t="s">
        <v>300</v>
      </c>
      <c r="C311" s="357"/>
      <c r="D311" s="357"/>
      <c r="E311" s="358"/>
      <c r="F311" s="357"/>
    </row>
    <row r="312" spans="2:6" ht="16.5" hidden="1" customHeight="1" x14ac:dyDescent="0.2">
      <c r="B312" s="356" t="s">
        <v>301</v>
      </c>
      <c r="C312" s="357"/>
      <c r="D312" s="357"/>
      <c r="E312" s="357"/>
      <c r="F312" s="357"/>
    </row>
    <row r="313" spans="2:6" ht="15" hidden="1" customHeight="1" x14ac:dyDescent="0.2"/>
    <row r="314" spans="2:6" ht="15" hidden="1" customHeight="1" x14ac:dyDescent="0.25">
      <c r="B314" s="282" t="str">
        <f>B84</f>
        <v>Analysis 2</v>
      </c>
      <c r="C314" s="302"/>
      <c r="D314" s="302"/>
      <c r="E314" s="302"/>
    </row>
    <row r="315" spans="2:6" ht="15.75" hidden="1" customHeight="1" x14ac:dyDescent="0.25">
      <c r="B315" s="350" t="s">
        <v>294</v>
      </c>
      <c r="C315" s="354"/>
      <c r="D315" s="354"/>
      <c r="E315" s="354"/>
    </row>
    <row r="316" spans="2:6" ht="15" hidden="1" customHeight="1" x14ac:dyDescent="0.2"/>
    <row r="317" spans="2:6" ht="15" hidden="1" customHeight="1" x14ac:dyDescent="0.2"/>
    <row r="318" spans="2:6" ht="15" hidden="1" customHeight="1" x14ac:dyDescent="0.2"/>
    <row r="319" spans="2:6" ht="15" hidden="1" customHeight="1" x14ac:dyDescent="0.2"/>
    <row r="320" spans="2:6" ht="15" hidden="1" customHeight="1" x14ac:dyDescent="0.2"/>
    <row r="321" spans="3:4" ht="15" hidden="1" customHeight="1" x14ac:dyDescent="0.2"/>
    <row r="322" spans="3:4" ht="15" hidden="1" customHeight="1" x14ac:dyDescent="0.2"/>
    <row r="323" spans="3:4" ht="15" hidden="1" customHeight="1" x14ac:dyDescent="0.2"/>
    <row r="325" spans="3:4" x14ac:dyDescent="0.2">
      <c r="C325" s="701"/>
      <c r="D325" s="701"/>
    </row>
    <row r="326" spans="3:4" x14ac:dyDescent="0.2">
      <c r="C326" s="825"/>
      <c r="D326" s="825"/>
    </row>
    <row r="327" spans="3:4" x14ac:dyDescent="0.2">
      <c r="C327" s="359"/>
      <c r="D327" s="359"/>
    </row>
    <row r="342" spans="3:3" x14ac:dyDescent="0.2">
      <c r="C342" s="360"/>
    </row>
    <row r="343" spans="3:3" x14ac:dyDescent="0.2">
      <c r="C343" s="360"/>
    </row>
    <row r="344" spans="3:3" x14ac:dyDescent="0.2">
      <c r="C344" s="360"/>
    </row>
    <row r="346" spans="3:3" x14ac:dyDescent="0.2">
      <c r="C346" s="360"/>
    </row>
    <row r="347" spans="3:3" x14ac:dyDescent="0.2">
      <c r="C347" s="360"/>
    </row>
    <row r="348" spans="3:3" x14ac:dyDescent="0.2">
      <c r="C348" s="360"/>
    </row>
    <row r="349" spans="3:3" x14ac:dyDescent="0.2">
      <c r="C349" s="360"/>
    </row>
    <row r="350" spans="3:3" x14ac:dyDescent="0.2">
      <c r="C350" s="360"/>
    </row>
    <row r="351" spans="3:3" x14ac:dyDescent="0.2">
      <c r="C351" s="360"/>
    </row>
    <row r="352" spans="3:3" x14ac:dyDescent="0.2">
      <c r="C352" s="360"/>
    </row>
    <row r="353" spans="3:3" x14ac:dyDescent="0.2">
      <c r="C353" s="360"/>
    </row>
    <row r="354" spans="3:3" x14ac:dyDescent="0.2">
      <c r="C354" s="360"/>
    </row>
  </sheetData>
  <mergeCells count="48">
    <mergeCell ref="H97:O100"/>
    <mergeCell ref="H107:K107"/>
    <mergeCell ref="L107:O107"/>
    <mergeCell ref="H80:K80"/>
    <mergeCell ref="L80:O80"/>
    <mergeCell ref="H85:O88"/>
    <mergeCell ref="H91:O94"/>
    <mergeCell ref="B308:B310"/>
    <mergeCell ref="C308:E308"/>
    <mergeCell ref="F308:F309"/>
    <mergeCell ref="C254:D254"/>
    <mergeCell ref="E254:J254"/>
    <mergeCell ref="S254:Y254"/>
    <mergeCell ref="AF254:AG254"/>
    <mergeCell ref="AH254:AM254"/>
    <mergeCell ref="C210:D210"/>
    <mergeCell ref="E210:J210"/>
    <mergeCell ref="Q210:R210"/>
    <mergeCell ref="S210:Y210"/>
    <mergeCell ref="AF210:AG210"/>
    <mergeCell ref="AH210:AM210"/>
    <mergeCell ref="Q254:R254"/>
    <mergeCell ref="AD119:AE119"/>
    <mergeCell ref="AF119:AK119"/>
    <mergeCell ref="C163:D163"/>
    <mergeCell ref="E163:J163"/>
    <mergeCell ref="P163:Q163"/>
    <mergeCell ref="R163:W163"/>
    <mergeCell ref="AD163:AE163"/>
    <mergeCell ref="AF163:AK163"/>
    <mergeCell ref="C119:D119"/>
    <mergeCell ref="E119:J119"/>
    <mergeCell ref="P119:Q119"/>
    <mergeCell ref="R119:W119"/>
    <mergeCell ref="G57:O60"/>
    <mergeCell ref="G63:O66"/>
    <mergeCell ref="D54:O54"/>
    <mergeCell ref="C2:F2"/>
    <mergeCell ref="D4:O4"/>
    <mergeCell ref="H7:O10"/>
    <mergeCell ref="H13:O16"/>
    <mergeCell ref="H26:K26"/>
    <mergeCell ref="L26:O26"/>
    <mergeCell ref="H31:O34"/>
    <mergeCell ref="H37:O40"/>
    <mergeCell ref="H43:O46"/>
    <mergeCell ref="H50:K50"/>
    <mergeCell ref="L50:O50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26"/>
  <sheetViews>
    <sheetView view="pageBreakPreview" zoomScale="90" zoomScaleNormal="75" zoomScaleSheetLayoutView="90" workbookViewId="0">
      <selection activeCell="AG19" sqref="AG19"/>
    </sheetView>
  </sheetViews>
  <sheetFormatPr defaultRowHeight="12.75" x14ac:dyDescent="0.2"/>
  <cols>
    <col min="1" max="1" width="3.42578125" style="24" customWidth="1"/>
    <col min="2" max="2" width="6.28515625" style="1" customWidth="1"/>
    <col min="3" max="3" width="7.28515625" style="1" customWidth="1"/>
    <col min="4" max="4" width="7.28515625" style="25" customWidth="1"/>
    <col min="5" max="5" width="8.28515625" style="1" customWidth="1"/>
    <col min="6" max="6" width="7.28515625" style="1" customWidth="1"/>
    <col min="7" max="7" width="8" style="1" customWidth="1"/>
    <col min="8" max="8" width="7.28515625" style="1" customWidth="1"/>
    <col min="9" max="9" width="7.42578125" style="1" customWidth="1"/>
    <col min="10" max="10" width="7.5703125" style="1" hidden="1" customWidth="1"/>
    <col min="11" max="11" width="7.42578125" style="1" hidden="1" customWidth="1"/>
    <col min="12" max="12" width="8.140625" style="1" hidden="1" customWidth="1"/>
    <col min="13" max="13" width="7.42578125" style="1" hidden="1" customWidth="1"/>
    <col min="14" max="14" width="7.140625" style="1" hidden="1" customWidth="1"/>
    <col min="15" max="15" width="8.5703125" style="1" hidden="1" customWidth="1"/>
    <col min="16" max="16" width="7" style="1" hidden="1" customWidth="1"/>
    <col min="17" max="17" width="7.85546875" style="1" hidden="1" customWidth="1"/>
    <col min="18" max="18" width="8.5703125" style="1" hidden="1" customWidth="1"/>
    <col min="19" max="19" width="9.7109375" style="1" hidden="1" customWidth="1"/>
    <col min="20" max="20" width="11.85546875" style="1" hidden="1" customWidth="1"/>
    <col min="21" max="21" width="10" style="1" hidden="1" customWidth="1"/>
    <col min="22" max="22" width="11.140625" style="1" hidden="1" customWidth="1"/>
    <col min="23" max="24" width="10" style="1" hidden="1" customWidth="1"/>
    <col min="25" max="25" width="9.85546875" style="1" hidden="1" customWidth="1"/>
    <col min="26" max="26" width="8.5703125" style="1" customWidth="1"/>
  </cols>
  <sheetData>
    <row r="1" spans="1:32" ht="35.25" customHeight="1" x14ac:dyDescent="0.2">
      <c r="A1" s="1065" t="s">
        <v>26</v>
      </c>
      <c r="B1" s="1065"/>
      <c r="C1" s="1065"/>
      <c r="D1" s="1065"/>
      <c r="E1" s="1065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066" t="s">
        <v>17</v>
      </c>
      <c r="B4" s="1066"/>
      <c r="C4" s="1066"/>
      <c r="D4" s="1066"/>
      <c r="E4" s="1066"/>
      <c r="F4" s="1066"/>
      <c r="G4" s="1066"/>
      <c r="H4" s="1066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6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4.75" customHeight="1" thickBot="1" x14ac:dyDescent="0.25">
      <c r="B11" s="1059" t="s">
        <v>24</v>
      </c>
      <c r="C11" s="1060"/>
      <c r="D11" s="1060"/>
      <c r="E11" s="1061"/>
      <c r="F11" s="1059" t="s">
        <v>1</v>
      </c>
      <c r="G11" s="1060"/>
      <c r="H11" s="1061"/>
      <c r="I11" s="1059" t="s">
        <v>2</v>
      </c>
      <c r="J11" s="1060"/>
      <c r="K11" s="1061"/>
      <c r="L11" s="1059" t="s">
        <v>3</v>
      </c>
      <c r="M11" s="1060"/>
      <c r="N11" s="1061"/>
      <c r="O11" s="1059" t="s">
        <v>4</v>
      </c>
      <c r="P11" s="1060"/>
      <c r="Q11" s="1060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38</v>
      </c>
      <c r="AA11" s="1059" t="s">
        <v>93</v>
      </c>
      <c r="AB11" s="1060"/>
      <c r="AC11" s="1061"/>
      <c r="AD11" s="1062" t="s">
        <v>97</v>
      </c>
      <c r="AE11" s="1063"/>
      <c r="AF11" s="1064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16" t="s">
        <v>6</v>
      </c>
      <c r="L12" s="15"/>
      <c r="M12" s="16" t="s">
        <v>6</v>
      </c>
      <c r="N12" s="16" t="s">
        <v>6</v>
      </c>
      <c r="O12" s="15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1" t="s">
        <v>12</v>
      </c>
      <c r="L13" s="79" t="s">
        <v>14</v>
      </c>
      <c r="M13" s="21" t="s">
        <v>11</v>
      </c>
      <c r="N13" s="21" t="s">
        <v>12</v>
      </c>
      <c r="O13" s="79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6.06</v>
      </c>
      <c r="F14" s="48">
        <v>4.6055999999999999</v>
      </c>
      <c r="G14" s="28">
        <v>3.14</v>
      </c>
      <c r="H14" s="49">
        <v>14.461584</v>
      </c>
      <c r="I14" s="43">
        <v>0.25832704000000001</v>
      </c>
      <c r="J14" s="28">
        <v>19.55</v>
      </c>
      <c r="K14" s="54">
        <v>5.0502936320000007</v>
      </c>
      <c r="L14" s="45">
        <v>4.3271769600000001</v>
      </c>
      <c r="M14" s="46">
        <v>2.23</v>
      </c>
      <c r="N14" s="47">
        <v>9.6496046207999999</v>
      </c>
      <c r="O14" s="43">
        <v>12.12</v>
      </c>
      <c r="P14" s="28">
        <v>5.67</v>
      </c>
      <c r="Q14" s="54">
        <v>68.720399999999998</v>
      </c>
      <c r="R14" s="59">
        <v>29.161482252799999</v>
      </c>
      <c r="S14" s="62">
        <v>0.27842303999999984</v>
      </c>
      <c r="T14" s="69">
        <v>1.479261611519999</v>
      </c>
      <c r="U14" s="62">
        <v>99.361143864319999</v>
      </c>
      <c r="V14" s="60">
        <v>9.8699999999999992</v>
      </c>
      <c r="W14" s="67">
        <v>815</v>
      </c>
      <c r="X14" s="69">
        <v>20.375</v>
      </c>
      <c r="Y14" s="67">
        <v>129.60614386432002</v>
      </c>
      <c r="Z14" s="72">
        <v>142.6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215.6</v>
      </c>
      <c r="AE14" s="112">
        <f>(Z14+AB14)*$AF$7</f>
        <v>214.6</v>
      </c>
      <c r="AF14" s="112">
        <f>(Z14+AC14)*$AF$7</f>
        <v>157.6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6.1</v>
      </c>
      <c r="F15" s="48">
        <v>4.88</v>
      </c>
      <c r="G15" s="28">
        <v>3.14</v>
      </c>
      <c r="H15" s="49">
        <v>15.3232</v>
      </c>
      <c r="I15" s="43">
        <v>0.29488000000000003</v>
      </c>
      <c r="J15" s="28">
        <v>19.55</v>
      </c>
      <c r="K15" s="54">
        <v>5.7649040000000005</v>
      </c>
      <c r="L15" s="52">
        <v>4.5537200000000002</v>
      </c>
      <c r="M15" s="28">
        <v>2.23</v>
      </c>
      <c r="N15" s="49">
        <v>10.1547956</v>
      </c>
      <c r="O15" s="43">
        <v>12.2</v>
      </c>
      <c r="P15" s="28">
        <v>5.67</v>
      </c>
      <c r="Q15" s="54">
        <v>69.173999999999992</v>
      </c>
      <c r="R15" s="60">
        <v>31.242899600000001</v>
      </c>
      <c r="S15" s="62">
        <v>0.32627999999999968</v>
      </c>
      <c r="T15" s="69">
        <v>1.7335256399999983</v>
      </c>
      <c r="U15" s="62">
        <v>102.15042523999999</v>
      </c>
      <c r="V15" s="60">
        <v>11.9</v>
      </c>
      <c r="W15" s="67">
        <v>815</v>
      </c>
      <c r="X15" s="69">
        <v>20.375</v>
      </c>
      <c r="Y15" s="67">
        <v>134.42542523999998</v>
      </c>
      <c r="Z15" s="72">
        <v>147.9</v>
      </c>
      <c r="AA15" s="116">
        <v>82</v>
      </c>
      <c r="AB15" s="116">
        <v>81</v>
      </c>
      <c r="AC15" s="116">
        <v>17</v>
      </c>
      <c r="AD15" s="113">
        <f t="shared" si="0"/>
        <v>229.9</v>
      </c>
      <c r="AE15" s="113">
        <f t="shared" ref="AE15:AE26" si="1">(Z15+AB15)*$AF$7</f>
        <v>228.9</v>
      </c>
      <c r="AF15" s="113">
        <f t="shared" ref="AF15:AF26" si="2">(Z15+AC15)*$AF$7</f>
        <v>164.9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6.1499999999999995</v>
      </c>
      <c r="F16" s="48">
        <v>5.2274999999999991</v>
      </c>
      <c r="G16" s="28">
        <v>3.14</v>
      </c>
      <c r="H16" s="49">
        <v>16.414349999999999</v>
      </c>
      <c r="I16" s="43">
        <v>0.340796875</v>
      </c>
      <c r="J16" s="28">
        <v>19.55</v>
      </c>
      <c r="K16" s="54">
        <v>6.6625789062500003</v>
      </c>
      <c r="L16" s="52">
        <v>4.8376406249999997</v>
      </c>
      <c r="M16" s="28">
        <v>2.23</v>
      </c>
      <c r="N16" s="49">
        <v>10.787938593749999</v>
      </c>
      <c r="O16" s="43">
        <v>12.299999999999999</v>
      </c>
      <c r="P16" s="28">
        <v>5.67</v>
      </c>
      <c r="Q16" s="54">
        <v>69.741</v>
      </c>
      <c r="R16" s="60">
        <v>33.864867500000003</v>
      </c>
      <c r="S16" s="62">
        <v>0.38985937499999945</v>
      </c>
      <c r="T16" s="69">
        <v>2.0713228593749973</v>
      </c>
      <c r="U16" s="62">
        <v>105.677190359375</v>
      </c>
      <c r="V16" s="60">
        <v>17</v>
      </c>
      <c r="W16" s="67">
        <v>815</v>
      </c>
      <c r="X16" s="69">
        <v>20.375</v>
      </c>
      <c r="Y16" s="67">
        <v>143.052190359375</v>
      </c>
      <c r="Z16" s="72">
        <v>157.4</v>
      </c>
      <c r="AA16" s="116">
        <v>82</v>
      </c>
      <c r="AB16" s="116">
        <v>81</v>
      </c>
      <c r="AC16" s="116">
        <v>17</v>
      </c>
      <c r="AD16" s="113">
        <f t="shared" si="0"/>
        <v>239.4</v>
      </c>
      <c r="AE16" s="113">
        <f t="shared" si="1"/>
        <v>238.4</v>
      </c>
      <c r="AF16" s="113">
        <f t="shared" si="2"/>
        <v>174.4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6.2149999999999999</v>
      </c>
      <c r="F17" s="48">
        <v>5.686725</v>
      </c>
      <c r="G17" s="28">
        <v>3.14</v>
      </c>
      <c r="H17" s="49">
        <v>17.856316500000002</v>
      </c>
      <c r="I17" s="43">
        <v>0.39995416312499998</v>
      </c>
      <c r="J17" s="28">
        <v>19.55</v>
      </c>
      <c r="K17" s="54">
        <v>7.8191038890937499</v>
      </c>
      <c r="L17" s="52">
        <v>5.2088792118749998</v>
      </c>
      <c r="M17" s="28">
        <v>2.23</v>
      </c>
      <c r="N17" s="49">
        <v>11.615800642481249</v>
      </c>
      <c r="O17" s="43">
        <v>12.43</v>
      </c>
      <c r="P17" s="28">
        <v>5.67</v>
      </c>
      <c r="Q17" s="54">
        <v>70.478099999999998</v>
      </c>
      <c r="R17" s="60">
        <v>37.291221031574999</v>
      </c>
      <c r="S17" s="62">
        <v>0.47784578812500023</v>
      </c>
      <c r="T17" s="69">
        <v>2.5387946723081258</v>
      </c>
      <c r="U17" s="62">
        <v>110.30811570388313</v>
      </c>
      <c r="V17" s="60">
        <v>24.68</v>
      </c>
      <c r="W17" s="67">
        <v>815</v>
      </c>
      <c r="X17" s="69">
        <v>20.375</v>
      </c>
      <c r="Y17" s="67">
        <v>155.36311570388312</v>
      </c>
      <c r="Z17" s="72">
        <v>171</v>
      </c>
      <c r="AA17" s="116">
        <v>91</v>
      </c>
      <c r="AB17" s="116">
        <v>90</v>
      </c>
      <c r="AC17" s="116">
        <v>19</v>
      </c>
      <c r="AD17" s="113">
        <f t="shared" si="0"/>
        <v>262</v>
      </c>
      <c r="AE17" s="113">
        <f t="shared" si="1"/>
        <v>261</v>
      </c>
      <c r="AF17" s="113">
        <f t="shared" si="2"/>
        <v>190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6.2549999999999999</v>
      </c>
      <c r="F18" s="48">
        <v>5.9735249999999995</v>
      </c>
      <c r="G18" s="28">
        <v>3.14</v>
      </c>
      <c r="H18" s="49">
        <v>18.7568685</v>
      </c>
      <c r="I18" s="43">
        <v>0.43554720812499992</v>
      </c>
      <c r="J18" s="28">
        <v>19.55</v>
      </c>
      <c r="K18" s="54">
        <v>8.5149479188437489</v>
      </c>
      <c r="L18" s="52">
        <v>5.4390481668749997</v>
      </c>
      <c r="M18" s="28">
        <v>2.23</v>
      </c>
      <c r="N18" s="49">
        <v>12.129077412131249</v>
      </c>
      <c r="O18" s="43">
        <v>12.51</v>
      </c>
      <c r="P18" s="28">
        <v>5.67</v>
      </c>
      <c r="Q18" s="54">
        <v>70.931699999999992</v>
      </c>
      <c r="R18" s="60">
        <v>39.400893830974994</v>
      </c>
      <c r="S18" s="62">
        <v>0.53447683312499983</v>
      </c>
      <c r="T18" s="69">
        <v>2.8396754143931235</v>
      </c>
      <c r="U18" s="62">
        <v>113.17226924536811</v>
      </c>
      <c r="V18" s="60">
        <v>31.35</v>
      </c>
      <c r="W18" s="67">
        <v>815</v>
      </c>
      <c r="X18" s="69">
        <v>20.375</v>
      </c>
      <c r="Y18" s="67">
        <v>164.89726924536811</v>
      </c>
      <c r="Z18" s="72">
        <v>181.4</v>
      </c>
      <c r="AA18" s="116">
        <v>91</v>
      </c>
      <c r="AB18" s="116">
        <v>90</v>
      </c>
      <c r="AC18" s="116">
        <v>19</v>
      </c>
      <c r="AD18" s="113">
        <f t="shared" si="0"/>
        <v>272.39999999999998</v>
      </c>
      <c r="AE18" s="113">
        <f t="shared" si="1"/>
        <v>271.39999999999998</v>
      </c>
      <c r="AF18" s="113">
        <f t="shared" si="2"/>
        <v>200.4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6.3</v>
      </c>
      <c r="F19" s="48">
        <v>6.3</v>
      </c>
      <c r="G19" s="28">
        <v>3.14</v>
      </c>
      <c r="H19" s="49">
        <v>19.782</v>
      </c>
      <c r="I19" s="43">
        <v>0.47440000000000004</v>
      </c>
      <c r="J19" s="28">
        <v>19.55</v>
      </c>
      <c r="K19" s="54">
        <v>9.2745200000000008</v>
      </c>
      <c r="L19" s="52">
        <v>5.6999999999999993</v>
      </c>
      <c r="M19" s="28">
        <v>2.23</v>
      </c>
      <c r="N19" s="49">
        <v>12.710999999999999</v>
      </c>
      <c r="O19" s="43">
        <v>12.6</v>
      </c>
      <c r="P19" s="28">
        <v>5.67</v>
      </c>
      <c r="Q19" s="54">
        <v>71.441999999999993</v>
      </c>
      <c r="R19" s="60">
        <v>41.767519999999998</v>
      </c>
      <c r="S19" s="62">
        <v>0.60000000000000053</v>
      </c>
      <c r="T19" s="69">
        <v>3.1878000000000024</v>
      </c>
      <c r="U19" s="62">
        <v>116.39731999999999</v>
      </c>
      <c r="V19" s="60">
        <v>38.44</v>
      </c>
      <c r="W19" s="67">
        <v>815</v>
      </c>
      <c r="X19" s="69">
        <v>20.375</v>
      </c>
      <c r="Y19" s="67">
        <v>175.21231999999998</v>
      </c>
      <c r="Z19" s="72">
        <v>192.7</v>
      </c>
      <c r="AA19" s="116">
        <v>105</v>
      </c>
      <c r="AB19" s="116">
        <v>103</v>
      </c>
      <c r="AC19" s="116">
        <v>22</v>
      </c>
      <c r="AD19" s="113">
        <f t="shared" si="0"/>
        <v>297.7</v>
      </c>
      <c r="AE19" s="113">
        <f t="shared" si="1"/>
        <v>295.7</v>
      </c>
      <c r="AF19" s="113">
        <f t="shared" si="2"/>
        <v>214.7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6.3999999999999995</v>
      </c>
      <c r="F20" s="48">
        <v>7.04</v>
      </c>
      <c r="G20" s="28">
        <v>3.14</v>
      </c>
      <c r="H20" s="49">
        <v>22.105600000000003</v>
      </c>
      <c r="I20" s="43">
        <v>0.55412499999999998</v>
      </c>
      <c r="J20" s="28">
        <v>19.55</v>
      </c>
      <c r="K20" s="54">
        <v>10.83314375</v>
      </c>
      <c r="L20" s="52">
        <v>6.289625</v>
      </c>
      <c r="M20" s="28">
        <v>2.23</v>
      </c>
      <c r="N20" s="49">
        <v>14.025863749999999</v>
      </c>
      <c r="O20" s="43">
        <v>12.799999999999999</v>
      </c>
      <c r="P20" s="28">
        <v>5.67</v>
      </c>
      <c r="Q20" s="54">
        <v>72.575999999999993</v>
      </c>
      <c r="R20" s="60">
        <v>46.9646075</v>
      </c>
      <c r="S20" s="62">
        <v>0.75037500000000001</v>
      </c>
      <c r="T20" s="69">
        <v>3.9867423749999999</v>
      </c>
      <c r="U20" s="62">
        <v>123.527349875</v>
      </c>
      <c r="V20" s="60">
        <v>70.239999999999995</v>
      </c>
      <c r="W20" s="67">
        <v>815</v>
      </c>
      <c r="X20" s="69">
        <v>20.375</v>
      </c>
      <c r="Y20" s="67">
        <v>214.14234987499998</v>
      </c>
      <c r="Z20" s="72">
        <v>235.6</v>
      </c>
      <c r="AA20" s="116">
        <v>105</v>
      </c>
      <c r="AB20" s="116">
        <v>103</v>
      </c>
      <c r="AC20" s="116">
        <v>22</v>
      </c>
      <c r="AD20" s="113">
        <f t="shared" si="0"/>
        <v>340.6</v>
      </c>
      <c r="AE20" s="113">
        <f t="shared" si="1"/>
        <v>338.6</v>
      </c>
      <c r="AF20" s="113">
        <f t="shared" si="2"/>
        <v>257.60000000000002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42">
        <v>6.4999999999999991</v>
      </c>
      <c r="F21" s="50">
        <v>7.7999999999999989</v>
      </c>
      <c r="G21" s="32">
        <v>3.14</v>
      </c>
      <c r="H21" s="51">
        <v>24.491999999999997</v>
      </c>
      <c r="I21" s="44">
        <v>0.6208800000000001</v>
      </c>
      <c r="J21" s="32">
        <v>19.55</v>
      </c>
      <c r="K21" s="55">
        <v>12.138204000000002</v>
      </c>
      <c r="L21" s="58">
        <v>6.8965199999999989</v>
      </c>
      <c r="M21" s="32">
        <v>2.23</v>
      </c>
      <c r="N21" s="51">
        <v>15.379239599999998</v>
      </c>
      <c r="O21" s="44">
        <v>12.999999999999998</v>
      </c>
      <c r="P21" s="32">
        <v>5.67</v>
      </c>
      <c r="Q21" s="55">
        <v>73.709999999999994</v>
      </c>
      <c r="R21" s="61">
        <v>52.009443599999997</v>
      </c>
      <c r="S21" s="63">
        <v>0.90348000000000006</v>
      </c>
      <c r="T21" s="61">
        <v>4.8001892399999999</v>
      </c>
      <c r="U21" s="63">
        <v>130.51963283999999</v>
      </c>
      <c r="V21" s="61">
        <v>87.89</v>
      </c>
      <c r="W21" s="68">
        <v>815</v>
      </c>
      <c r="X21" s="70">
        <v>20.375</v>
      </c>
      <c r="Y21" s="68">
        <v>238.78463283999997</v>
      </c>
      <c r="Z21" s="73">
        <v>262.7</v>
      </c>
      <c r="AA21" s="116">
        <v>123</v>
      </c>
      <c r="AB21" s="116">
        <v>121</v>
      </c>
      <c r="AC21" s="116">
        <v>26</v>
      </c>
      <c r="AD21" s="113">
        <f t="shared" si="0"/>
        <v>385.7</v>
      </c>
      <c r="AE21" s="113">
        <f t="shared" si="1"/>
        <v>383.7</v>
      </c>
      <c r="AF21" s="113">
        <f t="shared" si="2"/>
        <v>288.7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6.6</v>
      </c>
      <c r="F22" s="52">
        <v>8.5799999999999983</v>
      </c>
      <c r="G22" s="28">
        <v>3.14</v>
      </c>
      <c r="H22" s="49">
        <v>26.941199999999995</v>
      </c>
      <c r="I22" s="43">
        <v>0.66995499999999986</v>
      </c>
      <c r="J22" s="28">
        <v>19.55</v>
      </c>
      <c r="K22" s="54">
        <v>13.097620249999999</v>
      </c>
      <c r="L22" s="52">
        <v>7.5253949999999987</v>
      </c>
      <c r="M22" s="28">
        <v>2.23</v>
      </c>
      <c r="N22" s="49">
        <v>16.781630849999996</v>
      </c>
      <c r="O22" s="43">
        <v>13.2</v>
      </c>
      <c r="P22" s="28">
        <v>5.67</v>
      </c>
      <c r="Q22" s="54">
        <v>74.843999999999994</v>
      </c>
      <c r="R22" s="60">
        <v>56.820451099999985</v>
      </c>
      <c r="S22" s="62">
        <v>1.0546049999999996</v>
      </c>
      <c r="T22" s="60">
        <v>5.6031163649999973</v>
      </c>
      <c r="U22" s="62">
        <v>137.26756746499998</v>
      </c>
      <c r="V22" s="60">
        <v>114.2</v>
      </c>
      <c r="W22" s="67">
        <v>1047</v>
      </c>
      <c r="X22" s="69">
        <v>26.175000000000001</v>
      </c>
      <c r="Y22" s="67">
        <v>277.64256746500001</v>
      </c>
      <c r="Z22" s="72">
        <v>305.39999999999998</v>
      </c>
      <c r="AA22" s="116">
        <v>123</v>
      </c>
      <c r="AB22" s="116">
        <v>121</v>
      </c>
      <c r="AC22" s="116">
        <v>26</v>
      </c>
      <c r="AD22" s="113">
        <f t="shared" si="0"/>
        <v>428.4</v>
      </c>
      <c r="AE22" s="113">
        <f t="shared" si="1"/>
        <v>426.4</v>
      </c>
      <c r="AF22" s="113">
        <f t="shared" si="2"/>
        <v>331.4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6.6999999999999993</v>
      </c>
      <c r="F23" s="48">
        <v>9.379999999999999</v>
      </c>
      <c r="G23" s="28">
        <v>3.14</v>
      </c>
      <c r="H23" s="49">
        <v>29.453199999999999</v>
      </c>
      <c r="I23" s="43">
        <v>0.69663999999999981</v>
      </c>
      <c r="J23" s="28">
        <v>19.55</v>
      </c>
      <c r="K23" s="54">
        <v>13.619311999999997</v>
      </c>
      <c r="L23" s="52">
        <v>8.1809599999999989</v>
      </c>
      <c r="M23" s="28">
        <v>2.23</v>
      </c>
      <c r="N23" s="49">
        <v>18.243540799999998</v>
      </c>
      <c r="O23" s="43">
        <v>13.399999999999999</v>
      </c>
      <c r="P23" s="28">
        <v>5.67</v>
      </c>
      <c r="Q23" s="54">
        <v>75.977999999999994</v>
      </c>
      <c r="R23" s="60">
        <v>61.316052799999994</v>
      </c>
      <c r="S23" s="62">
        <v>1.1990400000000001</v>
      </c>
      <c r="T23" s="60">
        <v>6.3704995200000001</v>
      </c>
      <c r="U23" s="62">
        <v>143.66455231999998</v>
      </c>
      <c r="V23" s="60">
        <v>140.9</v>
      </c>
      <c r="W23" s="67">
        <v>1047</v>
      </c>
      <c r="X23" s="69">
        <v>26.175000000000001</v>
      </c>
      <c r="Y23" s="67">
        <v>310.73955231999997</v>
      </c>
      <c r="Z23" s="72">
        <v>341.8</v>
      </c>
      <c r="AA23" s="116">
        <v>145</v>
      </c>
      <c r="AB23" s="116">
        <v>143</v>
      </c>
      <c r="AC23" s="116">
        <v>30</v>
      </c>
      <c r="AD23" s="113">
        <f t="shared" si="0"/>
        <v>486.8</v>
      </c>
      <c r="AE23" s="113">
        <f t="shared" si="1"/>
        <v>484.8</v>
      </c>
      <c r="AF23" s="113">
        <f t="shared" si="2"/>
        <v>371.8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6.8</v>
      </c>
      <c r="F24" s="48">
        <v>10.199999999999999</v>
      </c>
      <c r="G24" s="28">
        <v>3.14</v>
      </c>
      <c r="H24" s="49">
        <v>32.027999999999999</v>
      </c>
      <c r="I24" s="43">
        <v>0.69622500000000009</v>
      </c>
      <c r="J24" s="28">
        <v>19.55</v>
      </c>
      <c r="K24" s="54">
        <v>13.611198750000002</v>
      </c>
      <c r="L24" s="52">
        <v>8.8679249999999996</v>
      </c>
      <c r="M24" s="28">
        <v>2.23</v>
      </c>
      <c r="N24" s="49">
        <v>19.775472749999999</v>
      </c>
      <c r="O24" s="43">
        <v>13.6</v>
      </c>
      <c r="P24" s="28">
        <v>5.67</v>
      </c>
      <c r="Q24" s="54">
        <v>77.111999999999995</v>
      </c>
      <c r="R24" s="60">
        <v>65.414671499999997</v>
      </c>
      <c r="S24" s="62">
        <v>1.3320749999999997</v>
      </c>
      <c r="T24" s="60">
        <v>7.0773144749999979</v>
      </c>
      <c r="U24" s="62">
        <v>149.603985975</v>
      </c>
      <c r="V24" s="60">
        <v>149</v>
      </c>
      <c r="W24" s="67">
        <v>1047</v>
      </c>
      <c r="X24" s="69">
        <v>26.175000000000001</v>
      </c>
      <c r="Y24" s="67">
        <v>324.77898597500001</v>
      </c>
      <c r="Z24" s="72">
        <v>357.3</v>
      </c>
      <c r="AA24" s="116">
        <v>145</v>
      </c>
      <c r="AB24" s="116">
        <v>143</v>
      </c>
      <c r="AC24" s="116">
        <v>30</v>
      </c>
      <c r="AD24" s="113">
        <f t="shared" si="0"/>
        <v>502.3</v>
      </c>
      <c r="AE24" s="113">
        <f t="shared" si="1"/>
        <v>500.3</v>
      </c>
      <c r="AF24" s="113">
        <f t="shared" si="2"/>
        <v>387.3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6.8999999999999995</v>
      </c>
      <c r="F25" s="48">
        <v>11.04</v>
      </c>
      <c r="G25" s="28">
        <v>3.14</v>
      </c>
      <c r="H25" s="49">
        <v>34.665599999999998</v>
      </c>
      <c r="I25" s="43">
        <v>0.66399999999999992</v>
      </c>
      <c r="J25" s="28">
        <v>19.55</v>
      </c>
      <c r="K25" s="54">
        <v>12.981199999999999</v>
      </c>
      <c r="L25" s="52">
        <v>9.5909999999999993</v>
      </c>
      <c r="M25" s="28">
        <v>2.23</v>
      </c>
      <c r="N25" s="49">
        <v>21.387929999999997</v>
      </c>
      <c r="O25" s="43">
        <v>13.799999999999999</v>
      </c>
      <c r="P25" s="28">
        <v>5.67</v>
      </c>
      <c r="Q25" s="54">
        <v>78.245999999999995</v>
      </c>
      <c r="R25" s="60">
        <v>69.034729999999996</v>
      </c>
      <c r="S25" s="62">
        <v>1.4489999999999998</v>
      </c>
      <c r="T25" s="60">
        <v>7.6985369999999991</v>
      </c>
      <c r="U25" s="62">
        <v>154.97926699999999</v>
      </c>
      <c r="V25" s="60">
        <v>166.5</v>
      </c>
      <c r="W25" s="67">
        <v>1047</v>
      </c>
      <c r="X25" s="69">
        <v>26.175000000000001</v>
      </c>
      <c r="Y25" s="67">
        <v>347.654267</v>
      </c>
      <c r="Z25" s="72">
        <v>382.4</v>
      </c>
      <c r="AA25" s="116">
        <v>171</v>
      </c>
      <c r="AB25" s="116">
        <v>169</v>
      </c>
      <c r="AC25" s="116">
        <v>34</v>
      </c>
      <c r="AD25" s="113">
        <f t="shared" si="0"/>
        <v>553.4</v>
      </c>
      <c r="AE25" s="113">
        <f t="shared" si="1"/>
        <v>551.4</v>
      </c>
      <c r="AF25" s="113">
        <f t="shared" si="2"/>
        <v>416.4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7.1499999999999995</v>
      </c>
      <c r="F26" s="50">
        <v>13.227499999999999</v>
      </c>
      <c r="G26" s="32">
        <v>3.14</v>
      </c>
      <c r="H26" s="51">
        <v>41.534349999999996</v>
      </c>
      <c r="I26" s="44">
        <v>0.41335937499999992</v>
      </c>
      <c r="J26" s="32">
        <v>19.55</v>
      </c>
      <c r="K26" s="55">
        <v>8.081175781249998</v>
      </c>
      <c r="L26" s="58">
        <v>11.587578124999999</v>
      </c>
      <c r="M26" s="32">
        <v>2.23</v>
      </c>
      <c r="N26" s="51">
        <v>25.840299218749998</v>
      </c>
      <c r="O26" s="44">
        <v>14.299999999999999</v>
      </c>
      <c r="P26" s="32">
        <v>5.67</v>
      </c>
      <c r="Q26" s="55">
        <v>81.080999999999989</v>
      </c>
      <c r="R26" s="61">
        <v>75.45582499999999</v>
      </c>
      <c r="S26" s="63">
        <v>1.6399218750000006</v>
      </c>
      <c r="T26" s="61">
        <v>8.712904921875003</v>
      </c>
      <c r="U26" s="63">
        <v>165.24972992187497</v>
      </c>
      <c r="V26" s="61">
        <v>203.43</v>
      </c>
      <c r="W26" s="68">
        <v>1047</v>
      </c>
      <c r="X26" s="71">
        <v>26.175000000000001</v>
      </c>
      <c r="Y26" s="68">
        <v>394.85472992187499</v>
      </c>
      <c r="Z26" s="74">
        <v>434.3</v>
      </c>
      <c r="AA26" s="117">
        <v>171</v>
      </c>
      <c r="AB26" s="117">
        <v>169</v>
      </c>
      <c r="AC26" s="117">
        <v>34</v>
      </c>
      <c r="AD26" s="114">
        <f t="shared" si="0"/>
        <v>605.29999999999995</v>
      </c>
      <c r="AE26" s="114">
        <f t="shared" si="1"/>
        <v>603.29999999999995</v>
      </c>
      <c r="AF26" s="114">
        <f t="shared" si="2"/>
        <v>468.3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4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A32BF-E139-44FC-86F9-1A86EE64E2BB}">
  <sheetPr>
    <tabColor theme="9" tint="0.59999389629810485"/>
  </sheetPr>
  <dimension ref="A1:AH37"/>
  <sheetViews>
    <sheetView zoomScale="85" zoomScaleNormal="85" workbookViewId="0">
      <selection activeCell="Y43" sqref="Y43"/>
    </sheetView>
  </sheetViews>
  <sheetFormatPr defaultRowHeight="12.75" x14ac:dyDescent="0.2"/>
  <cols>
    <col min="1" max="1" width="9.140625" style="29"/>
    <col min="6" max="7" width="0" hidden="1" customWidth="1"/>
    <col min="9" max="10" width="0" hidden="1" customWidth="1"/>
    <col min="12" max="13" width="0" hidden="1" customWidth="1"/>
    <col min="15" max="16" width="0" hidden="1" customWidth="1"/>
    <col min="21" max="21" width="14.7109375" bestFit="1" customWidth="1"/>
    <col min="23" max="23" width="0" hidden="1" customWidth="1"/>
  </cols>
  <sheetData>
    <row r="1" spans="1:34" x14ac:dyDescent="0.2">
      <c r="A1" s="1073" t="s">
        <v>148</v>
      </c>
      <c r="B1" s="1073"/>
      <c r="C1" s="1073"/>
      <c r="D1" s="1073"/>
      <c r="E1" s="1073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</row>
    <row r="2" spans="1:34" x14ac:dyDescent="0.2">
      <c r="A2" s="155"/>
      <c r="B2" s="156"/>
      <c r="C2" s="156"/>
      <c r="D2" s="157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</row>
    <row r="3" spans="1:34" x14ac:dyDescent="0.2">
      <c r="A3" s="155"/>
      <c r="B3" s="156"/>
      <c r="C3" s="156"/>
      <c r="D3" s="157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</row>
    <row r="4" spans="1:34" ht="15.75" x14ac:dyDescent="0.25">
      <c r="A4" s="1074" t="s">
        <v>149</v>
      </c>
      <c r="B4" s="1074"/>
      <c r="C4" s="1074"/>
      <c r="D4" s="1074"/>
      <c r="E4" s="1074"/>
      <c r="F4" s="1074"/>
      <c r="G4" s="1074"/>
      <c r="H4" s="1074"/>
      <c r="I4" s="1074"/>
      <c r="J4" s="1074"/>
      <c r="K4" s="1074"/>
      <c r="L4" s="1074"/>
      <c r="M4" s="1074"/>
      <c r="N4" s="1074"/>
      <c r="O4" s="1074"/>
      <c r="P4" s="1074"/>
      <c r="Q4" s="1074"/>
      <c r="R4" s="1074"/>
      <c r="S4" s="158"/>
      <c r="T4" s="158"/>
      <c r="U4" s="158"/>
      <c r="V4" s="158"/>
      <c r="W4" s="158"/>
      <c r="X4" s="158"/>
      <c r="Y4" s="158"/>
      <c r="Z4" s="158"/>
      <c r="AA4" s="159"/>
      <c r="AB4" s="160"/>
      <c r="AC4" s="160"/>
      <c r="AD4" s="160"/>
      <c r="AE4" s="160"/>
      <c r="AF4" s="160"/>
      <c r="AG4" s="160"/>
      <c r="AH4" s="160"/>
    </row>
    <row r="5" spans="1:34" x14ac:dyDescent="0.2">
      <c r="A5" s="155"/>
      <c r="B5" s="161"/>
      <c r="C5" s="156"/>
      <c r="D5" s="157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</row>
    <row r="6" spans="1:34" x14ac:dyDescent="0.2">
      <c r="A6" s="162" t="s">
        <v>150</v>
      </c>
      <c r="B6" s="163" t="s">
        <v>0</v>
      </c>
      <c r="C6" s="156" t="s">
        <v>151</v>
      </c>
      <c r="D6" s="157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</row>
    <row r="7" spans="1:34" x14ac:dyDescent="0.2">
      <c r="A7" s="162"/>
      <c r="B7" s="163"/>
      <c r="C7" s="156" t="s">
        <v>152</v>
      </c>
      <c r="D7" s="157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>
        <v>1</v>
      </c>
      <c r="AG7" s="154"/>
      <c r="AH7" s="154"/>
    </row>
    <row r="8" spans="1:34" x14ac:dyDescent="0.2">
      <c r="A8" s="162"/>
      <c r="B8" s="163"/>
      <c r="C8" s="156" t="s">
        <v>153</v>
      </c>
      <c r="D8" s="157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</row>
    <row r="9" spans="1:34" x14ac:dyDescent="0.2">
      <c r="A9" s="162"/>
      <c r="B9" s="164" t="s">
        <v>154</v>
      </c>
      <c r="C9" s="163">
        <v>1.2</v>
      </c>
      <c r="D9" s="157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</row>
    <row r="10" spans="1:34" ht="13.5" thickBot="1" x14ac:dyDescent="0.25">
      <c r="A10" s="162"/>
      <c r="B10" s="163"/>
      <c r="C10" s="156"/>
      <c r="D10" s="157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</row>
    <row r="11" spans="1:34" ht="90" thickBot="1" x14ac:dyDescent="0.25">
      <c r="A11" s="165"/>
      <c r="B11" s="1067" t="s">
        <v>24</v>
      </c>
      <c r="C11" s="1068"/>
      <c r="D11" s="1068"/>
      <c r="E11" s="1069"/>
      <c r="F11" s="1067" t="s">
        <v>1</v>
      </c>
      <c r="G11" s="1068"/>
      <c r="H11" s="1069"/>
      <c r="I11" s="1067" t="s">
        <v>155</v>
      </c>
      <c r="J11" s="1068"/>
      <c r="K11" s="1069"/>
      <c r="L11" s="1067" t="s">
        <v>3</v>
      </c>
      <c r="M11" s="1068"/>
      <c r="N11" s="1069"/>
      <c r="O11" s="1067" t="s">
        <v>4</v>
      </c>
      <c r="P11" s="1068"/>
      <c r="Q11" s="1068"/>
      <c r="R11" s="166" t="s">
        <v>19</v>
      </c>
      <c r="S11" s="166" t="s">
        <v>31</v>
      </c>
      <c r="T11" s="166" t="s">
        <v>32</v>
      </c>
      <c r="U11" s="166" t="s">
        <v>156</v>
      </c>
      <c r="V11" s="167" t="s">
        <v>157</v>
      </c>
      <c r="W11" s="166" t="s">
        <v>158</v>
      </c>
      <c r="X11" s="166" t="s">
        <v>159</v>
      </c>
      <c r="Y11" s="166" t="s">
        <v>160</v>
      </c>
      <c r="Z11" s="168" t="s">
        <v>23</v>
      </c>
      <c r="AA11" s="169" t="s">
        <v>39</v>
      </c>
      <c r="AB11" s="1067" t="s">
        <v>93</v>
      </c>
      <c r="AC11" s="1068"/>
      <c r="AD11" s="1069"/>
      <c r="AE11" s="1070" t="s">
        <v>97</v>
      </c>
      <c r="AF11" s="1071"/>
      <c r="AG11" s="1072"/>
      <c r="AH11" s="170"/>
    </row>
    <row r="12" spans="1:34" ht="26.25" thickBot="1" x14ac:dyDescent="0.25">
      <c r="A12" s="171"/>
      <c r="B12" s="172"/>
      <c r="C12" s="173"/>
      <c r="D12" s="174"/>
      <c r="E12" s="250"/>
      <c r="F12" s="251"/>
      <c r="G12" s="175" t="s">
        <v>6</v>
      </c>
      <c r="H12" s="175" t="s">
        <v>6</v>
      </c>
      <c r="I12" s="174"/>
      <c r="J12" s="176" t="s">
        <v>6</v>
      </c>
      <c r="K12" s="177" t="s">
        <v>6</v>
      </c>
      <c r="L12" s="174"/>
      <c r="M12" s="175" t="s">
        <v>6</v>
      </c>
      <c r="N12" s="175" t="s">
        <v>6</v>
      </c>
      <c r="O12" s="174"/>
      <c r="P12" s="176" t="s">
        <v>6</v>
      </c>
      <c r="Q12" s="177" t="s">
        <v>6</v>
      </c>
      <c r="R12" s="178" t="s">
        <v>6</v>
      </c>
      <c r="S12" s="179"/>
      <c r="T12" s="180" t="s">
        <v>33</v>
      </c>
      <c r="U12" s="178" t="s">
        <v>6</v>
      </c>
      <c r="V12" s="181"/>
      <c r="W12" s="178"/>
      <c r="X12" s="178"/>
      <c r="Y12" s="177"/>
      <c r="Z12" s="178"/>
      <c r="AA12" s="169" t="s">
        <v>6</v>
      </c>
      <c r="AB12" s="182" t="s">
        <v>6</v>
      </c>
      <c r="AC12" s="182" t="s">
        <v>6</v>
      </c>
      <c r="AD12" s="182" t="s">
        <v>6</v>
      </c>
      <c r="AE12" s="183" t="s">
        <v>6</v>
      </c>
      <c r="AF12" s="184" t="s">
        <v>6</v>
      </c>
      <c r="AG12" s="185" t="s">
        <v>6</v>
      </c>
      <c r="AH12" s="186"/>
    </row>
    <row r="13" spans="1:34" ht="39" thickBot="1" x14ac:dyDescent="0.25">
      <c r="A13" s="187"/>
      <c r="B13" s="188" t="s">
        <v>7</v>
      </c>
      <c r="C13" s="189" t="s">
        <v>8</v>
      </c>
      <c r="D13" s="190" t="s">
        <v>9</v>
      </c>
      <c r="E13" s="192" t="s">
        <v>161</v>
      </c>
      <c r="F13" s="188" t="s">
        <v>10</v>
      </c>
      <c r="G13" s="191" t="s">
        <v>11</v>
      </c>
      <c r="H13" s="191" t="s">
        <v>12</v>
      </c>
      <c r="I13" s="190" t="s">
        <v>13</v>
      </c>
      <c r="J13" s="192" t="s">
        <v>11</v>
      </c>
      <c r="K13" s="193" t="s">
        <v>12</v>
      </c>
      <c r="L13" s="190" t="s">
        <v>14</v>
      </c>
      <c r="M13" s="191" t="s">
        <v>11</v>
      </c>
      <c r="N13" s="191" t="s">
        <v>12</v>
      </c>
      <c r="O13" s="190" t="s">
        <v>15</v>
      </c>
      <c r="P13" s="192" t="s">
        <v>16</v>
      </c>
      <c r="Q13" s="193" t="s">
        <v>12</v>
      </c>
      <c r="R13" s="192" t="s">
        <v>12</v>
      </c>
      <c r="S13" s="194" t="s">
        <v>34</v>
      </c>
      <c r="T13" s="191" t="s">
        <v>35</v>
      </c>
      <c r="U13" s="192" t="s">
        <v>12</v>
      </c>
      <c r="V13" s="195" t="s">
        <v>35</v>
      </c>
      <c r="W13" s="192" t="s">
        <v>35</v>
      </c>
      <c r="X13" s="192" t="s">
        <v>35</v>
      </c>
      <c r="Y13" s="193" t="s">
        <v>35</v>
      </c>
      <c r="Z13" s="192" t="s">
        <v>35</v>
      </c>
      <c r="AA13" s="196" t="s">
        <v>12</v>
      </c>
      <c r="AB13" s="197" t="s">
        <v>94</v>
      </c>
      <c r="AC13" s="197" t="s">
        <v>95</v>
      </c>
      <c r="AD13" s="197" t="s">
        <v>96</v>
      </c>
      <c r="AE13" s="198" t="s">
        <v>94</v>
      </c>
      <c r="AF13" s="198" t="s">
        <v>95</v>
      </c>
      <c r="AG13" s="198" t="s">
        <v>96</v>
      </c>
      <c r="AH13" s="170"/>
    </row>
    <row r="14" spans="1:34" hidden="1" x14ac:dyDescent="0.2">
      <c r="A14" s="199"/>
      <c r="B14" s="200">
        <v>50</v>
      </c>
      <c r="C14" s="201">
        <v>0.05</v>
      </c>
      <c r="D14" s="202">
        <v>0.65</v>
      </c>
      <c r="E14" s="203">
        <v>1.1500000000000001</v>
      </c>
      <c r="F14" s="204">
        <v>0.74750000000000016</v>
      </c>
      <c r="G14" s="204">
        <v>3.14</v>
      </c>
      <c r="H14" s="204">
        <v>2.3471500000000005</v>
      </c>
      <c r="I14" s="204">
        <v>9.6224375000000015E-2</v>
      </c>
      <c r="J14" s="205">
        <v>19.55</v>
      </c>
      <c r="K14" s="206">
        <v>1.8811865312500005</v>
      </c>
      <c r="L14" s="204">
        <v>0.64931312500000016</v>
      </c>
      <c r="M14" s="204">
        <v>2.23</v>
      </c>
      <c r="N14" s="204">
        <v>1.4479682687500004</v>
      </c>
      <c r="O14" s="204">
        <v>2.3000000000000003</v>
      </c>
      <c r="P14" s="205">
        <v>0</v>
      </c>
      <c r="Q14" s="206">
        <v>0</v>
      </c>
      <c r="R14" s="205">
        <v>5.6763048000000014</v>
      </c>
      <c r="S14" s="207">
        <v>9.8186875000000007E-2</v>
      </c>
      <c r="T14" s="208">
        <v>0.52166686687499997</v>
      </c>
      <c r="U14" s="205">
        <v>6.1979716668750013</v>
      </c>
      <c r="V14" s="206">
        <v>5</v>
      </c>
      <c r="W14" s="204" t="s">
        <v>162</v>
      </c>
      <c r="X14" s="205">
        <v>1.29</v>
      </c>
      <c r="Y14" s="206">
        <v>0.65</v>
      </c>
      <c r="Z14" s="209">
        <v>13.137971666875002</v>
      </c>
      <c r="AA14" s="210">
        <v>15.1</v>
      </c>
      <c r="AB14" s="200">
        <v>64</v>
      </c>
      <c r="AC14" s="211">
        <v>63</v>
      </c>
      <c r="AD14" s="212">
        <v>13</v>
      </c>
      <c r="AE14" s="213">
        <v>79.099999999999994</v>
      </c>
      <c r="AF14" s="213">
        <v>78.099999999999994</v>
      </c>
      <c r="AG14" s="214">
        <v>28.1</v>
      </c>
      <c r="AH14" s="215">
        <v>50</v>
      </c>
    </row>
    <row r="15" spans="1:34" hidden="1" x14ac:dyDescent="0.2">
      <c r="A15" s="199"/>
      <c r="B15" s="216">
        <v>63</v>
      </c>
      <c r="C15" s="217">
        <v>6.3E-2</v>
      </c>
      <c r="D15" s="218">
        <v>0.66300000000000003</v>
      </c>
      <c r="E15" s="219">
        <v>1.163</v>
      </c>
      <c r="F15" s="220">
        <v>0.77106900000000012</v>
      </c>
      <c r="G15" s="221">
        <v>3.14</v>
      </c>
      <c r="H15" s="221">
        <v>2.4211566600000003</v>
      </c>
      <c r="I15" s="221">
        <v>0.10600331410500001</v>
      </c>
      <c r="J15" s="222">
        <v>19.55</v>
      </c>
      <c r="K15" s="223">
        <v>2.0723647907527503</v>
      </c>
      <c r="L15" s="221">
        <v>0.6619500208950001</v>
      </c>
      <c r="M15" s="221">
        <v>2.23</v>
      </c>
      <c r="N15" s="221">
        <v>1.4761485465958502</v>
      </c>
      <c r="O15" s="221">
        <v>2.3260000000000001</v>
      </c>
      <c r="P15" s="222">
        <v>0</v>
      </c>
      <c r="Q15" s="223">
        <v>0</v>
      </c>
      <c r="R15" s="222">
        <v>5.9696699973485998</v>
      </c>
      <c r="S15" s="224">
        <v>0.10911897910500001</v>
      </c>
      <c r="T15" s="225">
        <v>0.5797491359848651</v>
      </c>
      <c r="U15" s="222">
        <v>6.5494191333334646</v>
      </c>
      <c r="V15" s="223">
        <v>5.97</v>
      </c>
      <c r="W15" s="221" t="s">
        <v>162</v>
      </c>
      <c r="X15" s="222">
        <v>1.29</v>
      </c>
      <c r="Y15" s="223">
        <v>0.65</v>
      </c>
      <c r="Z15" s="226">
        <v>14.459419133333464</v>
      </c>
      <c r="AA15" s="227">
        <v>16.600000000000001</v>
      </c>
      <c r="AB15" s="216">
        <v>64</v>
      </c>
      <c r="AC15" s="228">
        <v>63</v>
      </c>
      <c r="AD15" s="229">
        <v>13</v>
      </c>
      <c r="AE15" s="230">
        <v>80.599999999999994</v>
      </c>
      <c r="AF15" s="230">
        <v>79.599999999999994</v>
      </c>
      <c r="AG15" s="231">
        <v>29.6</v>
      </c>
      <c r="AH15" s="215">
        <v>63</v>
      </c>
    </row>
    <row r="16" spans="1:34" hidden="1" x14ac:dyDescent="0.2">
      <c r="A16" s="199"/>
      <c r="B16" s="216">
        <v>75</v>
      </c>
      <c r="C16" s="217">
        <v>7.4999999999999997E-2</v>
      </c>
      <c r="D16" s="218">
        <v>0.67499999999999993</v>
      </c>
      <c r="E16" s="219">
        <v>1.175</v>
      </c>
      <c r="F16" s="220">
        <v>0.79312499999999997</v>
      </c>
      <c r="G16" s="221">
        <v>3.14</v>
      </c>
      <c r="H16" s="221">
        <v>2.4904125000000001</v>
      </c>
      <c r="I16" s="221">
        <v>0.11514445312499998</v>
      </c>
      <c r="J16" s="222">
        <v>19.55</v>
      </c>
      <c r="K16" s="223">
        <v>2.2510740585937494</v>
      </c>
      <c r="L16" s="221">
        <v>0.67356492187499994</v>
      </c>
      <c r="M16" s="221">
        <v>2.23</v>
      </c>
      <c r="N16" s="221">
        <v>1.5020497757812499</v>
      </c>
      <c r="O16" s="221">
        <v>2.35</v>
      </c>
      <c r="P16" s="222">
        <v>0</v>
      </c>
      <c r="Q16" s="223">
        <v>0</v>
      </c>
      <c r="R16" s="222">
        <v>6.2435363343749994</v>
      </c>
      <c r="S16" s="224">
        <v>0.11956007812500002</v>
      </c>
      <c r="T16" s="225">
        <v>0.63522269507812512</v>
      </c>
      <c r="U16" s="266">
        <v>6.8787590294531249</v>
      </c>
      <c r="V16" s="223">
        <v>7.1</v>
      </c>
      <c r="W16" s="221" t="s">
        <v>162</v>
      </c>
      <c r="X16" s="222">
        <v>1.31</v>
      </c>
      <c r="Y16" s="223">
        <v>0.66</v>
      </c>
      <c r="Z16" s="262">
        <v>15.948759029453125</v>
      </c>
      <c r="AA16" s="261">
        <v>18.3</v>
      </c>
      <c r="AB16" s="254">
        <v>64</v>
      </c>
      <c r="AC16" s="255">
        <v>63</v>
      </c>
      <c r="AD16" s="256">
        <v>13</v>
      </c>
      <c r="AE16" s="252">
        <v>82.3</v>
      </c>
      <c r="AF16" s="252">
        <v>81.3</v>
      </c>
      <c r="AG16" s="253">
        <v>31.3</v>
      </c>
      <c r="AH16" s="215">
        <v>75</v>
      </c>
    </row>
    <row r="17" spans="1:34" x14ac:dyDescent="0.2">
      <c r="A17" s="199"/>
      <c r="B17" s="216">
        <v>90</v>
      </c>
      <c r="C17" s="217">
        <v>0.09</v>
      </c>
      <c r="D17" s="218">
        <v>0.69</v>
      </c>
      <c r="E17" s="219">
        <v>1.1900000000000002</v>
      </c>
      <c r="F17" s="220">
        <v>0.82110000000000005</v>
      </c>
      <c r="G17" s="221">
        <v>3.14</v>
      </c>
      <c r="H17" s="221">
        <v>2.5782540000000003</v>
      </c>
      <c r="I17" s="221">
        <v>0.12671263499999999</v>
      </c>
      <c r="J17" s="222">
        <v>19.55</v>
      </c>
      <c r="K17" s="223">
        <v>2.4772320142499997</v>
      </c>
      <c r="L17" s="221">
        <v>0.68802886500000004</v>
      </c>
      <c r="M17" s="221">
        <v>2.23</v>
      </c>
      <c r="N17" s="221">
        <v>1.53430436895</v>
      </c>
      <c r="O17" s="221">
        <v>2.3800000000000003</v>
      </c>
      <c r="P17" s="222">
        <v>0</v>
      </c>
      <c r="Q17" s="223">
        <v>0</v>
      </c>
      <c r="R17" s="222">
        <f>H17+K17+N17</f>
        <v>6.5897903832000004</v>
      </c>
      <c r="S17" s="224">
        <v>0.13307113500000001</v>
      </c>
      <c r="T17" s="225">
        <v>0.70700694025499999</v>
      </c>
      <c r="U17" s="206">
        <f>Q17+T17+R17</f>
        <v>7.2967973234550003</v>
      </c>
      <c r="V17" s="223">
        <v>9.74</v>
      </c>
      <c r="W17" s="221">
        <v>0</v>
      </c>
      <c r="X17" s="222">
        <v>1.33</v>
      </c>
      <c r="Y17" s="223">
        <v>0.67</v>
      </c>
      <c r="Z17" s="263">
        <f>U17+V17+W17+X17+Y17</f>
        <v>19.036797323455005</v>
      </c>
      <c r="AA17" s="514">
        <f>Z17*1.15</f>
        <v>21.892316921973254</v>
      </c>
      <c r="AB17" s="200">
        <v>64</v>
      </c>
      <c r="AC17" s="211">
        <v>63</v>
      </c>
      <c r="AD17" s="257">
        <v>13</v>
      </c>
      <c r="AE17" s="515">
        <f>AA17+AB17</f>
        <v>85.892316921973247</v>
      </c>
      <c r="AF17" s="213">
        <f>AA17+AC17</f>
        <v>84.892316921973247</v>
      </c>
      <c r="AG17" s="214">
        <f>AA17+AD17</f>
        <v>34.892316921973254</v>
      </c>
      <c r="AH17" s="215">
        <v>90</v>
      </c>
    </row>
    <row r="18" spans="1:34" x14ac:dyDescent="0.2">
      <c r="A18" s="199"/>
      <c r="B18" s="216">
        <v>100</v>
      </c>
      <c r="C18" s="217">
        <v>0.11</v>
      </c>
      <c r="D18" s="218">
        <v>0.71</v>
      </c>
      <c r="E18" s="219">
        <v>1.2100000000000002</v>
      </c>
      <c r="F18" s="220">
        <v>0.85910000000000009</v>
      </c>
      <c r="G18" s="221">
        <v>3.14</v>
      </c>
      <c r="H18" s="221">
        <v>2.6975740000000004</v>
      </c>
      <c r="I18" s="221">
        <v>0.142356065</v>
      </c>
      <c r="J18" s="222">
        <v>19.55</v>
      </c>
      <c r="K18" s="223">
        <v>2.7830610707500001</v>
      </c>
      <c r="L18" s="221">
        <v>0.70724543500000014</v>
      </c>
      <c r="M18" s="221">
        <v>2.23</v>
      </c>
      <c r="N18" s="221">
        <v>1.5771573200500002</v>
      </c>
      <c r="O18" s="221">
        <v>2.4200000000000004</v>
      </c>
      <c r="P18" s="222">
        <v>0</v>
      </c>
      <c r="Q18" s="223">
        <v>0</v>
      </c>
      <c r="R18" s="222">
        <f>H18+K18+N18</f>
        <v>7.0577923908000013</v>
      </c>
      <c r="S18" s="224">
        <v>0.15185456499999994</v>
      </c>
      <c r="T18" s="225">
        <v>0.80680330384499976</v>
      </c>
      <c r="U18" s="223">
        <f t="shared" ref="U18:U35" si="0">Q18+T18+R18</f>
        <v>7.8645956946450006</v>
      </c>
      <c r="V18" s="223">
        <v>13.21</v>
      </c>
      <c r="W18" s="221">
        <v>0</v>
      </c>
      <c r="X18" s="222">
        <v>1.35</v>
      </c>
      <c r="Y18" s="223">
        <v>0.68</v>
      </c>
      <c r="Z18" s="264">
        <f t="shared" ref="Z18:Z35" si="1">U18+V18+W18+X18+Y18</f>
        <v>23.104595694645003</v>
      </c>
      <c r="AA18" s="227">
        <f>Z18*1.15</f>
        <v>26.57028504884175</v>
      </c>
      <c r="AB18" s="216">
        <v>73</v>
      </c>
      <c r="AC18" s="228">
        <v>72</v>
      </c>
      <c r="AD18" s="258">
        <v>15</v>
      </c>
      <c r="AE18" s="230">
        <f t="shared" ref="AE18:AE35" si="2">AA18+AB18</f>
        <v>99.570285048841754</v>
      </c>
      <c r="AF18" s="230">
        <f t="shared" ref="AF18:AF35" si="3">AA18+AC18</f>
        <v>98.570285048841754</v>
      </c>
      <c r="AG18" s="231">
        <f t="shared" ref="AG18:AG35" si="4">AA18+AD18</f>
        <v>41.570285048841754</v>
      </c>
      <c r="AH18" s="215">
        <v>110</v>
      </c>
    </row>
    <row r="19" spans="1:34" x14ac:dyDescent="0.2">
      <c r="A19" s="199"/>
      <c r="B19" s="216">
        <v>125</v>
      </c>
      <c r="C19" s="217">
        <v>0.125</v>
      </c>
      <c r="D19" s="218">
        <v>0.72499999999999998</v>
      </c>
      <c r="E19" s="219">
        <v>1.2250000000000001</v>
      </c>
      <c r="F19" s="220">
        <v>0.88812500000000005</v>
      </c>
      <c r="G19" s="221">
        <v>3.14</v>
      </c>
      <c r="H19" s="221">
        <v>2.7887125000000004</v>
      </c>
      <c r="I19" s="221">
        <v>0.154232421875</v>
      </c>
      <c r="J19" s="222">
        <v>19.55</v>
      </c>
      <c r="K19" s="223">
        <v>3.01524384765625</v>
      </c>
      <c r="L19" s="221">
        <v>0.72162695312500014</v>
      </c>
      <c r="M19" s="221">
        <v>2.23</v>
      </c>
      <c r="N19" s="221">
        <v>1.6092281054687503</v>
      </c>
      <c r="O19" s="221">
        <v>2.4500000000000002</v>
      </c>
      <c r="P19" s="222">
        <v>0</v>
      </c>
      <c r="Q19" s="223">
        <v>0</v>
      </c>
      <c r="R19" s="222">
        <f t="shared" ref="R19:R35" si="5">H19+K19+N19</f>
        <v>7.413184453125</v>
      </c>
      <c r="S19" s="224">
        <v>0.16649804687499992</v>
      </c>
      <c r="T19" s="225">
        <v>0.88460412304687452</v>
      </c>
      <c r="U19" s="223">
        <f t="shared" si="0"/>
        <v>8.2977885761718753</v>
      </c>
      <c r="V19" s="223">
        <v>17.23</v>
      </c>
      <c r="W19" s="221">
        <v>0</v>
      </c>
      <c r="X19" s="222">
        <v>1.37</v>
      </c>
      <c r="Y19" s="223">
        <v>0.69</v>
      </c>
      <c r="Z19" s="264">
        <f t="shared" si="1"/>
        <v>27.587788576171878</v>
      </c>
      <c r="AA19" s="227">
        <f>Z19*1.15</f>
        <v>31.725956862597656</v>
      </c>
      <c r="AB19" s="216">
        <v>73</v>
      </c>
      <c r="AC19" s="228">
        <v>72</v>
      </c>
      <c r="AD19" s="258">
        <v>15</v>
      </c>
      <c r="AE19" s="230">
        <f t="shared" si="2"/>
        <v>104.72595686259766</v>
      </c>
      <c r="AF19" s="230">
        <f t="shared" si="3"/>
        <v>103.72595686259766</v>
      </c>
      <c r="AG19" s="231">
        <f t="shared" si="4"/>
        <v>46.725956862597656</v>
      </c>
      <c r="AH19" s="215">
        <v>125</v>
      </c>
    </row>
    <row r="20" spans="1:34" x14ac:dyDescent="0.2">
      <c r="A20" s="199"/>
      <c r="B20" s="216">
        <v>125</v>
      </c>
      <c r="C20" s="217">
        <v>0.14000000000000001</v>
      </c>
      <c r="D20" s="218">
        <v>0.74</v>
      </c>
      <c r="E20" s="219">
        <v>1.24</v>
      </c>
      <c r="F20" s="220">
        <v>0.91759999999999997</v>
      </c>
      <c r="G20" s="221">
        <v>3.14</v>
      </c>
      <c r="H20" s="221">
        <v>2.8812639999999998</v>
      </c>
      <c r="I20" s="221">
        <v>0.16621436000000001</v>
      </c>
      <c r="J20" s="222">
        <v>19.55</v>
      </c>
      <c r="K20" s="223">
        <v>3.2494907380000004</v>
      </c>
      <c r="L20" s="221">
        <v>0.73599963999999996</v>
      </c>
      <c r="M20" s="221">
        <v>2.23</v>
      </c>
      <c r="N20" s="221">
        <v>1.6412791971999998</v>
      </c>
      <c r="O20" s="221">
        <v>2.48</v>
      </c>
      <c r="P20" s="222">
        <v>0</v>
      </c>
      <c r="Q20" s="223">
        <v>0</v>
      </c>
      <c r="R20" s="222">
        <f t="shared" si="5"/>
        <v>7.7720339351999996</v>
      </c>
      <c r="S20" s="224">
        <v>0.18160036000000002</v>
      </c>
      <c r="T20" s="225">
        <v>0.96484271267999999</v>
      </c>
      <c r="U20" s="223">
        <f t="shared" si="0"/>
        <v>8.7368766478799991</v>
      </c>
      <c r="V20" s="223">
        <v>18.75</v>
      </c>
      <c r="W20" s="221">
        <v>0</v>
      </c>
      <c r="X20" s="222">
        <v>1.37</v>
      </c>
      <c r="Y20" s="223">
        <v>0.69</v>
      </c>
      <c r="Z20" s="264">
        <f t="shared" si="1"/>
        <v>29.546876647880001</v>
      </c>
      <c r="AA20" s="525">
        <f t="shared" ref="AA20:AA35" si="6">Z20*1.15</f>
        <v>33.978908145062</v>
      </c>
      <c r="AB20" s="216">
        <v>73</v>
      </c>
      <c r="AC20" s="228">
        <v>72</v>
      </c>
      <c r="AD20" s="258">
        <v>15</v>
      </c>
      <c r="AE20" s="526">
        <f t="shared" si="2"/>
        <v>106.97890814506201</v>
      </c>
      <c r="AF20" s="230">
        <f t="shared" si="3"/>
        <v>105.97890814506201</v>
      </c>
      <c r="AG20" s="231">
        <f t="shared" si="4"/>
        <v>48.978908145062</v>
      </c>
      <c r="AH20" s="215">
        <v>140</v>
      </c>
    </row>
    <row r="21" spans="1:34" x14ac:dyDescent="0.2">
      <c r="A21" s="199"/>
      <c r="B21" s="216">
        <v>150</v>
      </c>
      <c r="C21" s="217">
        <v>0.16</v>
      </c>
      <c r="D21" s="218">
        <v>0.76</v>
      </c>
      <c r="E21" s="219">
        <v>1.26</v>
      </c>
      <c r="F21" s="220">
        <v>0.95760000000000001</v>
      </c>
      <c r="G21" s="221">
        <v>3.14</v>
      </c>
      <c r="H21" s="221">
        <v>3.0068640000000002</v>
      </c>
      <c r="I21" s="221">
        <v>0.18232704</v>
      </c>
      <c r="J21" s="222">
        <v>19.55</v>
      </c>
      <c r="K21" s="223">
        <v>3.564493632</v>
      </c>
      <c r="L21" s="221">
        <v>0.75517696000000001</v>
      </c>
      <c r="M21" s="221">
        <v>2.23</v>
      </c>
      <c r="N21" s="221">
        <v>1.6840446207999999</v>
      </c>
      <c r="O21" s="221">
        <v>2.52</v>
      </c>
      <c r="P21" s="222">
        <v>0</v>
      </c>
      <c r="Q21" s="223">
        <v>0</v>
      </c>
      <c r="R21" s="222">
        <f t="shared" si="5"/>
        <v>8.2554022527999997</v>
      </c>
      <c r="S21" s="224">
        <v>0.20242304</v>
      </c>
      <c r="T21" s="225">
        <v>1.0754736115200001</v>
      </c>
      <c r="U21" s="223">
        <f t="shared" si="0"/>
        <v>9.3308758643199994</v>
      </c>
      <c r="V21" s="223">
        <v>24.49</v>
      </c>
      <c r="W21" s="221">
        <v>0</v>
      </c>
      <c r="X21" s="222">
        <v>1.4</v>
      </c>
      <c r="Y21" s="223">
        <v>0.71</v>
      </c>
      <c r="Z21" s="264">
        <f t="shared" si="1"/>
        <v>35.930875864320001</v>
      </c>
      <c r="AA21" s="227">
        <f t="shared" si="6"/>
        <v>41.320507243967995</v>
      </c>
      <c r="AB21" s="216">
        <v>73</v>
      </c>
      <c r="AC21" s="228">
        <v>72</v>
      </c>
      <c r="AD21" s="258">
        <v>15</v>
      </c>
      <c r="AE21" s="230">
        <f t="shared" si="2"/>
        <v>114.320507243968</v>
      </c>
      <c r="AF21" s="230">
        <f t="shared" si="3"/>
        <v>113.320507243968</v>
      </c>
      <c r="AG21" s="231">
        <f t="shared" si="4"/>
        <v>56.320507243967995</v>
      </c>
      <c r="AH21" s="215">
        <v>160</v>
      </c>
    </row>
    <row r="22" spans="1:34" x14ac:dyDescent="0.2">
      <c r="A22" s="199"/>
      <c r="B22" s="216">
        <v>150</v>
      </c>
      <c r="C22" s="217">
        <v>0.18</v>
      </c>
      <c r="D22" s="218">
        <v>0.78</v>
      </c>
      <c r="E22" s="219">
        <v>1.28</v>
      </c>
      <c r="F22" s="220">
        <v>0.99840000000000007</v>
      </c>
      <c r="G22" s="221">
        <v>3.14</v>
      </c>
      <c r="H22" s="221">
        <v>3.1349760000000004</v>
      </c>
      <c r="I22" s="221">
        <v>0.19856148000000001</v>
      </c>
      <c r="J22" s="222">
        <v>19.55</v>
      </c>
      <c r="K22" s="223">
        <v>3.8818769340000006</v>
      </c>
      <c r="L22" s="221">
        <v>0.77440452000000004</v>
      </c>
      <c r="M22" s="221">
        <v>2.23</v>
      </c>
      <c r="N22" s="221">
        <v>1.7269220796</v>
      </c>
      <c r="O22" s="221">
        <v>2.56</v>
      </c>
      <c r="P22" s="222">
        <v>0</v>
      </c>
      <c r="Q22" s="223">
        <v>0</v>
      </c>
      <c r="R22" s="222">
        <f t="shared" si="5"/>
        <v>8.7437750136000005</v>
      </c>
      <c r="S22" s="224">
        <v>0.22399548000000002</v>
      </c>
      <c r="T22" s="225">
        <v>1.1900879852400001</v>
      </c>
      <c r="U22" s="223">
        <f t="shared" si="0"/>
        <v>9.9338629988400005</v>
      </c>
      <c r="V22" s="223">
        <v>28.3</v>
      </c>
      <c r="W22" s="221">
        <v>0</v>
      </c>
      <c r="X22" s="222">
        <v>1.4</v>
      </c>
      <c r="Y22" s="223">
        <v>0.71</v>
      </c>
      <c r="Z22" s="264">
        <f t="shared" si="1"/>
        <v>40.343862998840002</v>
      </c>
      <c r="AA22" s="227">
        <f t="shared" si="6"/>
        <v>46.395442448665996</v>
      </c>
      <c r="AB22" s="216">
        <v>73</v>
      </c>
      <c r="AC22" s="228">
        <v>72</v>
      </c>
      <c r="AD22" s="258">
        <v>15</v>
      </c>
      <c r="AE22" s="230">
        <f t="shared" si="2"/>
        <v>119.39544244866599</v>
      </c>
      <c r="AF22" s="230">
        <f t="shared" si="3"/>
        <v>118.39544244866599</v>
      </c>
      <c r="AG22" s="231">
        <f t="shared" si="4"/>
        <v>61.395442448665996</v>
      </c>
      <c r="AH22" s="215">
        <v>180</v>
      </c>
    </row>
    <row r="23" spans="1:34" x14ac:dyDescent="0.2">
      <c r="A23" s="199"/>
      <c r="B23" s="216">
        <v>200</v>
      </c>
      <c r="C23" s="217">
        <v>0.2</v>
      </c>
      <c r="D23" s="218">
        <v>0.8</v>
      </c>
      <c r="E23" s="219">
        <v>1.3</v>
      </c>
      <c r="F23" s="220">
        <v>1.04</v>
      </c>
      <c r="G23" s="221">
        <v>3.14</v>
      </c>
      <c r="H23" s="221">
        <v>3.2656000000000001</v>
      </c>
      <c r="I23" s="221">
        <v>0.21488000000000007</v>
      </c>
      <c r="J23" s="222">
        <v>19.55</v>
      </c>
      <c r="K23" s="223">
        <v>4.2009040000000013</v>
      </c>
      <c r="L23" s="221">
        <v>0.79371999999999998</v>
      </c>
      <c r="M23" s="221">
        <v>2.23</v>
      </c>
      <c r="N23" s="221">
        <v>1.7699955999999999</v>
      </c>
      <c r="O23" s="221">
        <v>2.6</v>
      </c>
      <c r="P23" s="222">
        <v>0</v>
      </c>
      <c r="Q23" s="223">
        <v>0</v>
      </c>
      <c r="R23" s="222">
        <f t="shared" si="5"/>
        <v>9.2364996000000019</v>
      </c>
      <c r="S23" s="224">
        <v>0.24628000000000005</v>
      </c>
      <c r="T23" s="225">
        <v>1.3084856400000002</v>
      </c>
      <c r="U23" s="223">
        <f t="shared" si="0"/>
        <v>10.544985240000003</v>
      </c>
      <c r="V23" s="223">
        <v>30.92</v>
      </c>
      <c r="W23" s="221">
        <v>0</v>
      </c>
      <c r="X23" s="222">
        <v>1.43</v>
      </c>
      <c r="Y23" s="223">
        <v>0.72</v>
      </c>
      <c r="Z23" s="264">
        <f t="shared" si="1"/>
        <v>43.614985240000003</v>
      </c>
      <c r="AA23" s="227">
        <f t="shared" si="6"/>
        <v>50.157233026</v>
      </c>
      <c r="AB23" s="216">
        <v>82</v>
      </c>
      <c r="AC23" s="228">
        <v>81</v>
      </c>
      <c r="AD23" s="258">
        <v>17</v>
      </c>
      <c r="AE23" s="230">
        <f t="shared" si="2"/>
        <v>132.157233026</v>
      </c>
      <c r="AF23" s="230">
        <f t="shared" si="3"/>
        <v>131.157233026</v>
      </c>
      <c r="AG23" s="231">
        <f t="shared" si="4"/>
        <v>67.157233026</v>
      </c>
      <c r="AH23" s="215">
        <v>200</v>
      </c>
    </row>
    <row r="24" spans="1:34" x14ac:dyDescent="0.2">
      <c r="A24" s="199"/>
      <c r="B24" s="216">
        <v>225</v>
      </c>
      <c r="C24" s="217">
        <v>0.22500000000000001</v>
      </c>
      <c r="D24" s="218">
        <v>0.82499999999999996</v>
      </c>
      <c r="E24" s="219">
        <v>1.3250000000000002</v>
      </c>
      <c r="F24" s="220">
        <v>1.0931250000000001</v>
      </c>
      <c r="G24" s="221">
        <v>3.14</v>
      </c>
      <c r="H24" s="221">
        <v>3.4324125000000003</v>
      </c>
      <c r="I24" s="221">
        <v>0.23533898437499998</v>
      </c>
      <c r="J24" s="222">
        <v>19.55</v>
      </c>
      <c r="K24" s="223">
        <v>4.6008771445312497</v>
      </c>
      <c r="L24" s="221">
        <v>0.81804539062500015</v>
      </c>
      <c r="M24" s="221">
        <v>2.23</v>
      </c>
      <c r="N24" s="221">
        <v>1.8242412210937504</v>
      </c>
      <c r="O24" s="221">
        <v>2.6500000000000004</v>
      </c>
      <c r="P24" s="222">
        <v>0</v>
      </c>
      <c r="Q24" s="223">
        <v>0</v>
      </c>
      <c r="R24" s="222">
        <f t="shared" si="5"/>
        <v>9.8575308656249998</v>
      </c>
      <c r="S24" s="224">
        <v>0.27507960937499998</v>
      </c>
      <c r="T24" s="225">
        <v>1.4614979646093749</v>
      </c>
      <c r="U24" s="223">
        <f t="shared" si="0"/>
        <v>11.319028830234375</v>
      </c>
      <c r="V24" s="223">
        <v>35.659999999999997</v>
      </c>
      <c r="W24" s="221">
        <v>0</v>
      </c>
      <c r="X24" s="222">
        <v>1.43</v>
      </c>
      <c r="Y24" s="223">
        <v>0.72</v>
      </c>
      <c r="Z24" s="264">
        <f t="shared" si="1"/>
        <v>49.129028830234368</v>
      </c>
      <c r="AA24" s="227">
        <f t="shared" si="6"/>
        <v>56.49838315476952</v>
      </c>
      <c r="AB24" s="216">
        <v>82</v>
      </c>
      <c r="AC24" s="228">
        <v>81</v>
      </c>
      <c r="AD24" s="258">
        <v>17</v>
      </c>
      <c r="AE24" s="230">
        <f t="shared" si="2"/>
        <v>138.49838315476953</v>
      </c>
      <c r="AF24" s="230">
        <f t="shared" si="3"/>
        <v>137.49838315476953</v>
      </c>
      <c r="AG24" s="231">
        <f t="shared" si="4"/>
        <v>73.498383154769527</v>
      </c>
      <c r="AH24" s="215">
        <v>225</v>
      </c>
    </row>
    <row r="25" spans="1:34" x14ac:dyDescent="0.2">
      <c r="A25" s="199"/>
      <c r="B25" s="216">
        <v>250</v>
      </c>
      <c r="C25" s="217">
        <v>0.25</v>
      </c>
      <c r="D25" s="218">
        <v>0.85</v>
      </c>
      <c r="E25" s="219">
        <v>1.35</v>
      </c>
      <c r="F25" s="220">
        <v>1.1475</v>
      </c>
      <c r="G25" s="221">
        <v>3.14</v>
      </c>
      <c r="H25" s="221">
        <v>3.6031499999999999</v>
      </c>
      <c r="I25" s="221">
        <v>0.25579687499999998</v>
      </c>
      <c r="J25" s="222">
        <v>19.55</v>
      </c>
      <c r="K25" s="223">
        <v>5.0008289062499998</v>
      </c>
      <c r="L25" s="221">
        <v>0.84264062500000003</v>
      </c>
      <c r="M25" s="221">
        <v>2.23</v>
      </c>
      <c r="N25" s="221">
        <v>1.8790885937500001</v>
      </c>
      <c r="O25" s="221">
        <v>2.7</v>
      </c>
      <c r="P25" s="222">
        <v>5.67</v>
      </c>
      <c r="Q25" s="223">
        <v>15.309000000000001</v>
      </c>
      <c r="R25" s="222">
        <f t="shared" si="5"/>
        <v>10.483067499999999</v>
      </c>
      <c r="S25" s="224">
        <v>0.30485937499999993</v>
      </c>
      <c r="T25" s="225">
        <v>1.6197178593749997</v>
      </c>
      <c r="U25" s="223">
        <f t="shared" si="0"/>
        <v>27.411785359375003</v>
      </c>
      <c r="V25" s="223">
        <v>45.99</v>
      </c>
      <c r="W25" s="221">
        <v>0</v>
      </c>
      <c r="X25" s="222">
        <v>1.48</v>
      </c>
      <c r="Y25" s="223">
        <v>0.75</v>
      </c>
      <c r="Z25" s="264">
        <f t="shared" si="1"/>
        <v>75.631785359375002</v>
      </c>
      <c r="AA25" s="227">
        <f t="shared" si="6"/>
        <v>86.976553163281238</v>
      </c>
      <c r="AB25" s="216">
        <v>82</v>
      </c>
      <c r="AC25" s="228">
        <v>81</v>
      </c>
      <c r="AD25" s="258">
        <v>17</v>
      </c>
      <c r="AE25" s="230">
        <f t="shared" si="2"/>
        <v>168.97655316328124</v>
      </c>
      <c r="AF25" s="230">
        <f t="shared" si="3"/>
        <v>167.97655316328124</v>
      </c>
      <c r="AG25" s="231">
        <f t="shared" si="4"/>
        <v>103.97655316328124</v>
      </c>
      <c r="AH25" s="215">
        <v>250</v>
      </c>
    </row>
    <row r="26" spans="1:34" x14ac:dyDescent="0.2">
      <c r="A26" s="199"/>
      <c r="B26" s="216">
        <v>250</v>
      </c>
      <c r="C26" s="217">
        <v>0.28000000000000003</v>
      </c>
      <c r="D26" s="218">
        <v>0.88</v>
      </c>
      <c r="E26" s="219">
        <v>1.3800000000000001</v>
      </c>
      <c r="F26" s="220">
        <v>1.2144000000000001</v>
      </c>
      <c r="G26" s="221">
        <v>3.14</v>
      </c>
      <c r="H26" s="221">
        <v>3.8132160000000006</v>
      </c>
      <c r="I26" s="221">
        <v>0.28024127999999998</v>
      </c>
      <c r="J26" s="222">
        <v>19.55</v>
      </c>
      <c r="K26" s="223">
        <v>5.4787170239999998</v>
      </c>
      <c r="L26" s="221">
        <v>0.87261472000000007</v>
      </c>
      <c r="M26" s="221">
        <v>2.23</v>
      </c>
      <c r="N26" s="221">
        <v>1.9459308256000001</v>
      </c>
      <c r="O26" s="221">
        <v>2.7600000000000002</v>
      </c>
      <c r="P26" s="222">
        <v>5.67</v>
      </c>
      <c r="Q26" s="223">
        <v>15.6492</v>
      </c>
      <c r="R26" s="222">
        <f t="shared" si="5"/>
        <v>11.2378638496</v>
      </c>
      <c r="S26" s="224">
        <v>0.34178528000000008</v>
      </c>
      <c r="T26" s="225">
        <v>1.8159051926400003</v>
      </c>
      <c r="U26" s="223">
        <f t="shared" si="0"/>
        <v>28.702969042239999</v>
      </c>
      <c r="V26" s="223">
        <v>54.81</v>
      </c>
      <c r="W26" s="221">
        <v>0</v>
      </c>
      <c r="X26" s="222">
        <v>1.48</v>
      </c>
      <c r="Y26" s="223">
        <v>0.75</v>
      </c>
      <c r="Z26" s="264">
        <f t="shared" si="1"/>
        <v>85.742969042240006</v>
      </c>
      <c r="AA26" s="227">
        <f t="shared" si="6"/>
        <v>98.604414398575997</v>
      </c>
      <c r="AB26" s="216">
        <v>82</v>
      </c>
      <c r="AC26" s="228">
        <v>81</v>
      </c>
      <c r="AD26" s="258">
        <v>17</v>
      </c>
      <c r="AE26" s="230">
        <f t="shared" si="2"/>
        <v>180.60441439857601</v>
      </c>
      <c r="AF26" s="230">
        <f t="shared" si="3"/>
        <v>179.60441439857601</v>
      </c>
      <c r="AG26" s="231">
        <f t="shared" si="4"/>
        <v>115.604414398576</v>
      </c>
      <c r="AH26" s="215">
        <v>280</v>
      </c>
    </row>
    <row r="27" spans="1:34" x14ac:dyDescent="0.2">
      <c r="A27" s="199"/>
      <c r="B27" s="216">
        <v>300</v>
      </c>
      <c r="C27" s="217">
        <v>0.315</v>
      </c>
      <c r="D27" s="218">
        <v>0.91500000000000004</v>
      </c>
      <c r="E27" s="219">
        <v>1.415</v>
      </c>
      <c r="F27" s="220">
        <v>1.2947250000000001</v>
      </c>
      <c r="G27" s="221">
        <v>3.14</v>
      </c>
      <c r="H27" s="221">
        <v>4.0654365000000006</v>
      </c>
      <c r="I27" s="221">
        <v>0.30845416312500001</v>
      </c>
      <c r="J27" s="222">
        <v>19.55</v>
      </c>
      <c r="K27" s="223">
        <v>6.0302788890937506</v>
      </c>
      <c r="L27" s="221">
        <v>0.90837921187500015</v>
      </c>
      <c r="M27" s="221">
        <v>2.23</v>
      </c>
      <c r="N27" s="221">
        <v>2.0256856424812502</v>
      </c>
      <c r="O27" s="221">
        <v>2.83</v>
      </c>
      <c r="P27" s="222">
        <v>5.67</v>
      </c>
      <c r="Q27" s="223">
        <v>16.046099999999999</v>
      </c>
      <c r="R27" s="222">
        <f t="shared" si="5"/>
        <v>12.121401031575001</v>
      </c>
      <c r="S27" s="224">
        <v>0.38634578812499998</v>
      </c>
      <c r="T27" s="225">
        <v>2.0526551723081248</v>
      </c>
      <c r="U27" s="223">
        <f t="shared" si="0"/>
        <v>30.220156203883125</v>
      </c>
      <c r="V27" s="223">
        <v>69.94</v>
      </c>
      <c r="W27" s="221">
        <v>0</v>
      </c>
      <c r="X27" s="222">
        <v>1.51</v>
      </c>
      <c r="Y27" s="223">
        <v>0.77</v>
      </c>
      <c r="Z27" s="264">
        <f t="shared" si="1"/>
        <v>102.44015620388312</v>
      </c>
      <c r="AA27" s="227">
        <f t="shared" si="6"/>
        <v>117.80617963446558</v>
      </c>
      <c r="AB27" s="216">
        <v>91</v>
      </c>
      <c r="AC27" s="228">
        <v>90</v>
      </c>
      <c r="AD27" s="258">
        <v>19</v>
      </c>
      <c r="AE27" s="230">
        <f t="shared" si="2"/>
        <v>208.80617963446559</v>
      </c>
      <c r="AF27" s="230">
        <f t="shared" si="3"/>
        <v>207.80617963446559</v>
      </c>
      <c r="AG27" s="231">
        <f t="shared" si="4"/>
        <v>136.80617963446559</v>
      </c>
      <c r="AH27" s="215">
        <v>315</v>
      </c>
    </row>
    <row r="28" spans="1:34" x14ac:dyDescent="0.2">
      <c r="A28" s="199"/>
      <c r="B28" s="216">
        <v>355</v>
      </c>
      <c r="C28" s="217">
        <v>0.35499999999999998</v>
      </c>
      <c r="D28" s="218">
        <v>0.95499999999999996</v>
      </c>
      <c r="E28" s="219">
        <v>1.4550000000000001</v>
      </c>
      <c r="F28" s="220">
        <v>1.3895249999999999</v>
      </c>
      <c r="G28" s="221">
        <v>3.14</v>
      </c>
      <c r="H28" s="221">
        <v>4.3631085000000001</v>
      </c>
      <c r="I28" s="221">
        <v>0.34004720812499994</v>
      </c>
      <c r="J28" s="222">
        <v>19.55</v>
      </c>
      <c r="K28" s="223">
        <v>6.647922918843749</v>
      </c>
      <c r="L28" s="221">
        <v>0.95054816687499999</v>
      </c>
      <c r="M28" s="221">
        <v>2.23</v>
      </c>
      <c r="N28" s="221">
        <v>2.1197224121312499</v>
      </c>
      <c r="O28" s="221">
        <v>2.91</v>
      </c>
      <c r="P28" s="222">
        <v>5.67</v>
      </c>
      <c r="Q28" s="223">
        <v>16.499700000000001</v>
      </c>
      <c r="R28" s="222">
        <f t="shared" si="5"/>
        <v>13.130753830974999</v>
      </c>
      <c r="S28" s="224">
        <v>0.43897683312499991</v>
      </c>
      <c r="T28" s="225">
        <v>2.3322839143931242</v>
      </c>
      <c r="U28" s="223">
        <f t="shared" si="0"/>
        <v>31.962737745368123</v>
      </c>
      <c r="V28" s="223">
        <v>86.39</v>
      </c>
      <c r="W28" s="221">
        <v>0</v>
      </c>
      <c r="X28" s="222">
        <v>2.69</v>
      </c>
      <c r="Y28" s="223">
        <v>1.31</v>
      </c>
      <c r="Z28" s="264">
        <f t="shared" si="1"/>
        <v>122.35273774536813</v>
      </c>
      <c r="AA28" s="227">
        <f t="shared" si="6"/>
        <v>140.70564840717333</v>
      </c>
      <c r="AB28" s="216">
        <v>91</v>
      </c>
      <c r="AC28" s="228">
        <v>90</v>
      </c>
      <c r="AD28" s="258">
        <v>19</v>
      </c>
      <c r="AE28" s="230">
        <f t="shared" si="2"/>
        <v>231.70564840717333</v>
      </c>
      <c r="AF28" s="230">
        <f t="shared" si="3"/>
        <v>230.70564840717333</v>
      </c>
      <c r="AG28" s="231">
        <f t="shared" si="4"/>
        <v>159.70564840717333</v>
      </c>
      <c r="AH28" s="215">
        <v>355</v>
      </c>
    </row>
    <row r="29" spans="1:34" x14ac:dyDescent="0.2">
      <c r="A29" s="199"/>
      <c r="B29" s="216">
        <v>400</v>
      </c>
      <c r="C29" s="217">
        <v>0.4</v>
      </c>
      <c r="D29" s="218">
        <v>1</v>
      </c>
      <c r="E29" s="219">
        <v>1.5000000000000002</v>
      </c>
      <c r="F29" s="220">
        <v>1.5000000000000002</v>
      </c>
      <c r="G29" s="221">
        <v>3.14</v>
      </c>
      <c r="H29" s="221">
        <v>4.7100000000000009</v>
      </c>
      <c r="I29" s="221">
        <v>0.37439999999999996</v>
      </c>
      <c r="J29" s="222">
        <v>19.55</v>
      </c>
      <c r="K29" s="223">
        <v>7.3195199999999998</v>
      </c>
      <c r="L29" s="221">
        <v>1.0000000000000004</v>
      </c>
      <c r="M29" s="221">
        <v>2.23</v>
      </c>
      <c r="N29" s="221">
        <v>2.2300000000000009</v>
      </c>
      <c r="O29" s="221">
        <v>3.0000000000000004</v>
      </c>
      <c r="P29" s="222">
        <v>5.67</v>
      </c>
      <c r="Q29" s="223">
        <v>17.010000000000002</v>
      </c>
      <c r="R29" s="222">
        <f t="shared" si="5"/>
        <v>14.259520000000002</v>
      </c>
      <c r="S29" s="224">
        <v>0.49999999999999978</v>
      </c>
      <c r="T29" s="225">
        <v>2.656499999999999</v>
      </c>
      <c r="U29" s="223">
        <f t="shared" si="0"/>
        <v>33.926020000000001</v>
      </c>
      <c r="V29" s="223">
        <v>91.96</v>
      </c>
      <c r="W29" s="221">
        <v>0</v>
      </c>
      <c r="X29" s="222">
        <v>2.8</v>
      </c>
      <c r="Y29" s="223">
        <v>1.37</v>
      </c>
      <c r="Z29" s="264">
        <f t="shared" si="1"/>
        <v>130.05602000000002</v>
      </c>
      <c r="AA29" s="227">
        <f t="shared" si="6"/>
        <v>149.56442300000001</v>
      </c>
      <c r="AB29" s="216">
        <v>105</v>
      </c>
      <c r="AC29" s="228">
        <v>103</v>
      </c>
      <c r="AD29" s="258">
        <v>22</v>
      </c>
      <c r="AE29" s="230">
        <f t="shared" si="2"/>
        <v>254.56442300000001</v>
      </c>
      <c r="AF29" s="230">
        <f t="shared" si="3"/>
        <v>252.56442300000001</v>
      </c>
      <c r="AG29" s="231">
        <f t="shared" si="4"/>
        <v>171.56442300000001</v>
      </c>
      <c r="AH29" s="215">
        <v>400</v>
      </c>
    </row>
    <row r="30" spans="1:34" x14ac:dyDescent="0.2">
      <c r="A30" s="199"/>
      <c r="B30" s="216">
        <v>450</v>
      </c>
      <c r="C30" s="217">
        <v>0.45</v>
      </c>
      <c r="D30" s="218">
        <v>1.05</v>
      </c>
      <c r="E30" s="219">
        <v>1.55</v>
      </c>
      <c r="F30" s="220">
        <v>1.6275000000000002</v>
      </c>
      <c r="G30" s="221">
        <v>3.14</v>
      </c>
      <c r="H30" s="221">
        <v>5.1103500000000004</v>
      </c>
      <c r="I30" s="221">
        <v>0.41058937500000003</v>
      </c>
      <c r="J30" s="222">
        <v>19.55</v>
      </c>
      <c r="K30" s="223">
        <v>8.0270222812500016</v>
      </c>
      <c r="L30" s="221">
        <v>1.0579481250000002</v>
      </c>
      <c r="M30" s="221">
        <v>2.23</v>
      </c>
      <c r="N30" s="221">
        <v>2.3592243187500004</v>
      </c>
      <c r="O30" s="221">
        <v>3.1</v>
      </c>
      <c r="P30" s="222">
        <v>5.67</v>
      </c>
      <c r="Q30" s="223">
        <v>17.577000000000002</v>
      </c>
      <c r="R30" s="222">
        <f t="shared" si="5"/>
        <v>15.496596600000002</v>
      </c>
      <c r="S30" s="224">
        <v>0.56955187499999993</v>
      </c>
      <c r="T30" s="225">
        <v>3.0260291118749993</v>
      </c>
      <c r="U30" s="223">
        <f t="shared" si="0"/>
        <v>36.099625711875007</v>
      </c>
      <c r="V30" s="223">
        <v>123</v>
      </c>
      <c r="W30" s="221">
        <v>0</v>
      </c>
      <c r="X30" s="222">
        <v>2.8</v>
      </c>
      <c r="Y30" s="223">
        <v>1.37</v>
      </c>
      <c r="Z30" s="264">
        <f t="shared" si="1"/>
        <v>163.26962571187502</v>
      </c>
      <c r="AA30" s="227">
        <f t="shared" si="6"/>
        <v>187.76006956865626</v>
      </c>
      <c r="AB30" s="216">
        <v>105</v>
      </c>
      <c r="AC30" s="228">
        <v>103</v>
      </c>
      <c r="AD30" s="258">
        <v>22</v>
      </c>
      <c r="AE30" s="230">
        <f t="shared" si="2"/>
        <v>292.76006956865626</v>
      </c>
      <c r="AF30" s="230">
        <f t="shared" si="3"/>
        <v>290.76006956865626</v>
      </c>
      <c r="AG30" s="231">
        <f t="shared" si="4"/>
        <v>209.76006956865626</v>
      </c>
      <c r="AH30" s="215">
        <v>450</v>
      </c>
    </row>
    <row r="31" spans="1:34" x14ac:dyDescent="0.2">
      <c r="A31" s="199"/>
      <c r="B31" s="216">
        <v>500</v>
      </c>
      <c r="C31" s="217">
        <v>0.5</v>
      </c>
      <c r="D31" s="218">
        <v>1.1000000000000001</v>
      </c>
      <c r="E31" s="219">
        <v>1.6</v>
      </c>
      <c r="F31" s="220">
        <v>1.7600000000000002</v>
      </c>
      <c r="G31" s="221">
        <v>3.14</v>
      </c>
      <c r="H31" s="221">
        <v>5.5264000000000006</v>
      </c>
      <c r="I31" s="221">
        <v>0.44412499999999999</v>
      </c>
      <c r="J31" s="222">
        <v>19.55</v>
      </c>
      <c r="K31" s="223">
        <v>8.6826437500000004</v>
      </c>
      <c r="L31" s="221">
        <v>1.1196250000000001</v>
      </c>
      <c r="M31" s="221">
        <v>2.23</v>
      </c>
      <c r="N31" s="221">
        <v>2.4967637500000004</v>
      </c>
      <c r="O31" s="221">
        <v>3.2</v>
      </c>
      <c r="P31" s="222">
        <v>5.67</v>
      </c>
      <c r="Q31" s="223">
        <v>18.144000000000002</v>
      </c>
      <c r="R31" s="222">
        <f t="shared" si="5"/>
        <v>16.705807500000002</v>
      </c>
      <c r="S31" s="224">
        <v>0.64037500000000014</v>
      </c>
      <c r="T31" s="225">
        <v>3.4023123750000002</v>
      </c>
      <c r="U31" s="223">
        <f t="shared" si="0"/>
        <v>38.252119875000005</v>
      </c>
      <c r="V31" s="223">
        <v>160</v>
      </c>
      <c r="W31" s="221">
        <v>0</v>
      </c>
      <c r="X31" s="222">
        <v>3.81</v>
      </c>
      <c r="Y31" s="223">
        <v>1.91</v>
      </c>
      <c r="Z31" s="264">
        <f t="shared" si="1"/>
        <v>203.972119875</v>
      </c>
      <c r="AA31" s="227">
        <f t="shared" si="6"/>
        <v>234.56793785624998</v>
      </c>
      <c r="AB31" s="216">
        <v>105</v>
      </c>
      <c r="AC31" s="228">
        <v>103</v>
      </c>
      <c r="AD31" s="258">
        <v>22</v>
      </c>
      <c r="AE31" s="230">
        <f t="shared" si="2"/>
        <v>339.56793785624996</v>
      </c>
      <c r="AF31" s="230">
        <f t="shared" si="3"/>
        <v>337.56793785624996</v>
      </c>
      <c r="AG31" s="231">
        <f t="shared" si="4"/>
        <v>256.56793785624996</v>
      </c>
      <c r="AH31" s="215">
        <v>500</v>
      </c>
    </row>
    <row r="32" spans="1:34" x14ac:dyDescent="0.2">
      <c r="A32" s="199"/>
      <c r="B32" s="216">
        <v>550</v>
      </c>
      <c r="C32" s="217">
        <v>0.55000000000000004</v>
      </c>
      <c r="D32" s="218">
        <v>1.1499999999999999</v>
      </c>
      <c r="E32" s="219">
        <v>1.6500000000000001</v>
      </c>
      <c r="F32" s="220">
        <v>1.8975</v>
      </c>
      <c r="G32" s="221">
        <v>3.14</v>
      </c>
      <c r="H32" s="221">
        <v>5.9581499999999998</v>
      </c>
      <c r="I32" s="221">
        <v>0.47441812499999997</v>
      </c>
      <c r="J32" s="222">
        <v>19.55</v>
      </c>
      <c r="K32" s="223">
        <v>9.2748743437499996</v>
      </c>
      <c r="L32" s="221">
        <v>1.1856193749999999</v>
      </c>
      <c r="M32" s="221">
        <v>2.23</v>
      </c>
      <c r="N32" s="221">
        <v>2.64393120625</v>
      </c>
      <c r="O32" s="221">
        <v>3.3000000000000003</v>
      </c>
      <c r="P32" s="222">
        <v>5.67</v>
      </c>
      <c r="Q32" s="223">
        <v>18.711000000000002</v>
      </c>
      <c r="R32" s="222">
        <f t="shared" si="5"/>
        <v>17.876955549999998</v>
      </c>
      <c r="S32" s="224">
        <v>0.71188062500000004</v>
      </c>
      <c r="T32" s="225">
        <v>3.7822217606250002</v>
      </c>
      <c r="U32" s="223">
        <f t="shared" si="0"/>
        <v>40.370177310624996</v>
      </c>
      <c r="V32" s="223">
        <v>177</v>
      </c>
      <c r="W32" s="221">
        <v>0</v>
      </c>
      <c r="X32" s="222">
        <v>3.81</v>
      </c>
      <c r="Y32" s="223">
        <v>1.91</v>
      </c>
      <c r="Z32" s="264">
        <f t="shared" si="1"/>
        <v>223.09017731062499</v>
      </c>
      <c r="AA32" s="227">
        <f t="shared" si="6"/>
        <v>256.55370390721873</v>
      </c>
      <c r="AB32" s="216">
        <v>105</v>
      </c>
      <c r="AC32" s="228">
        <v>103</v>
      </c>
      <c r="AD32" s="258">
        <v>22</v>
      </c>
      <c r="AE32" s="230">
        <f t="shared" si="2"/>
        <v>361.55370390721873</v>
      </c>
      <c r="AF32" s="230">
        <f t="shared" si="3"/>
        <v>359.55370390721873</v>
      </c>
      <c r="AG32" s="231">
        <f t="shared" si="4"/>
        <v>278.55370390721873</v>
      </c>
      <c r="AH32" s="215">
        <v>550</v>
      </c>
    </row>
    <row r="33" spans="1:34" x14ac:dyDescent="0.2">
      <c r="A33" s="199"/>
      <c r="B33" s="216">
        <v>600</v>
      </c>
      <c r="C33" s="217">
        <v>0.6</v>
      </c>
      <c r="D33" s="218">
        <v>1.2</v>
      </c>
      <c r="E33" s="219">
        <v>1.7</v>
      </c>
      <c r="F33" s="220">
        <v>2.04</v>
      </c>
      <c r="G33" s="221">
        <v>3.14</v>
      </c>
      <c r="H33" s="221">
        <v>6.4056000000000006</v>
      </c>
      <c r="I33" s="221">
        <v>0.50087999999999999</v>
      </c>
      <c r="J33" s="222">
        <v>19.55</v>
      </c>
      <c r="K33" s="223">
        <v>9.7922039999999999</v>
      </c>
      <c r="L33" s="221">
        <v>1.2565200000000001</v>
      </c>
      <c r="M33" s="221">
        <v>2.23</v>
      </c>
      <c r="N33" s="221">
        <v>2.8020396000000001</v>
      </c>
      <c r="O33" s="221">
        <v>3.4</v>
      </c>
      <c r="P33" s="222">
        <v>5.67</v>
      </c>
      <c r="Q33" s="223">
        <v>19.277999999999999</v>
      </c>
      <c r="R33" s="222">
        <f t="shared" si="5"/>
        <v>18.999843600000002</v>
      </c>
      <c r="S33" s="224">
        <v>0.78347999999999995</v>
      </c>
      <c r="T33" s="225">
        <v>4.1626292399999993</v>
      </c>
      <c r="U33" s="223">
        <f>Q33+T33+R33</f>
        <v>42.440472839999998</v>
      </c>
      <c r="V33" s="223">
        <v>185</v>
      </c>
      <c r="W33" s="221">
        <v>0</v>
      </c>
      <c r="X33" s="222">
        <v>7.41</v>
      </c>
      <c r="Y33" s="223">
        <v>3.73</v>
      </c>
      <c r="Z33" s="264">
        <f t="shared" si="1"/>
        <v>238.58047283999997</v>
      </c>
      <c r="AA33" s="227">
        <f t="shared" si="6"/>
        <v>274.36754376599993</v>
      </c>
      <c r="AB33" s="232">
        <v>123</v>
      </c>
      <c r="AC33" s="233">
        <v>121</v>
      </c>
      <c r="AD33" s="259">
        <v>26</v>
      </c>
      <c r="AE33" s="230">
        <f t="shared" si="2"/>
        <v>397.36754376599993</v>
      </c>
      <c r="AF33" s="230">
        <f t="shared" si="3"/>
        <v>395.36754376599993</v>
      </c>
      <c r="AG33" s="231">
        <f t="shared" si="4"/>
        <v>300.36754376599993</v>
      </c>
      <c r="AH33" s="215">
        <v>600</v>
      </c>
    </row>
    <row r="34" spans="1:34" x14ac:dyDescent="0.2">
      <c r="A34" s="199"/>
      <c r="B34" s="216">
        <v>700</v>
      </c>
      <c r="C34" s="217">
        <v>0.7</v>
      </c>
      <c r="D34" s="218">
        <v>1.2999999999999998</v>
      </c>
      <c r="E34" s="219">
        <v>1.8</v>
      </c>
      <c r="F34" s="220">
        <v>2.34</v>
      </c>
      <c r="G34" s="221">
        <v>3.14</v>
      </c>
      <c r="H34" s="221">
        <v>7.3475999999999999</v>
      </c>
      <c r="I34" s="221">
        <v>0.53995499999999985</v>
      </c>
      <c r="J34" s="222">
        <v>19.55</v>
      </c>
      <c r="K34" s="223">
        <v>10.556120249999998</v>
      </c>
      <c r="L34" s="221">
        <v>1.415395</v>
      </c>
      <c r="M34" s="221">
        <v>2.23</v>
      </c>
      <c r="N34" s="221">
        <v>3.1563308499999998</v>
      </c>
      <c r="O34" s="221">
        <v>3.6</v>
      </c>
      <c r="P34" s="222">
        <v>5.67</v>
      </c>
      <c r="Q34" s="223">
        <v>20.411999999999999</v>
      </c>
      <c r="R34" s="222">
        <f t="shared" si="5"/>
        <v>21.060051099999999</v>
      </c>
      <c r="S34" s="224">
        <v>0.9246049999999999</v>
      </c>
      <c r="T34" s="225">
        <v>4.9124263649999991</v>
      </c>
      <c r="U34" s="223">
        <f t="shared" si="0"/>
        <v>46.384477464999996</v>
      </c>
      <c r="V34" s="223">
        <v>210</v>
      </c>
      <c r="W34" s="221">
        <v>0</v>
      </c>
      <c r="X34" s="222">
        <v>7.67</v>
      </c>
      <c r="Y34" s="223">
        <v>3.87</v>
      </c>
      <c r="Z34" s="264">
        <f t="shared" si="1"/>
        <v>267.924477465</v>
      </c>
      <c r="AA34" s="227">
        <f t="shared" si="6"/>
        <v>308.11314908474998</v>
      </c>
      <c r="AB34" s="232">
        <v>123</v>
      </c>
      <c r="AC34" s="233">
        <v>121</v>
      </c>
      <c r="AD34" s="259">
        <v>26</v>
      </c>
      <c r="AE34" s="230">
        <f t="shared" si="2"/>
        <v>431.11314908474998</v>
      </c>
      <c r="AF34" s="230">
        <f t="shared" si="3"/>
        <v>429.11314908474998</v>
      </c>
      <c r="AG34" s="231">
        <f t="shared" si="4"/>
        <v>334.11314908474998</v>
      </c>
      <c r="AH34" s="215">
        <v>700</v>
      </c>
    </row>
    <row r="35" spans="1:34" ht="13.5" thickBot="1" x14ac:dyDescent="0.25">
      <c r="A35" s="199"/>
      <c r="B35" s="234">
        <v>800</v>
      </c>
      <c r="C35" s="235">
        <v>0.8</v>
      </c>
      <c r="D35" s="236">
        <v>1.4</v>
      </c>
      <c r="E35" s="237">
        <v>1.9000000000000001</v>
      </c>
      <c r="F35" s="238">
        <v>2.66</v>
      </c>
      <c r="G35" s="239">
        <v>3.14</v>
      </c>
      <c r="H35" s="239">
        <v>8.3524000000000012</v>
      </c>
      <c r="I35" s="239">
        <v>0.55663999999999991</v>
      </c>
      <c r="J35" s="240">
        <v>19.55</v>
      </c>
      <c r="K35" s="241">
        <v>10.882311999999999</v>
      </c>
      <c r="L35" s="239">
        <v>1.6009600000000002</v>
      </c>
      <c r="M35" s="239">
        <v>2.23</v>
      </c>
      <c r="N35" s="239">
        <v>3.5701408000000003</v>
      </c>
      <c r="O35" s="239">
        <v>3.8000000000000003</v>
      </c>
      <c r="P35" s="239">
        <v>5.67</v>
      </c>
      <c r="Q35" s="239">
        <v>21.546000000000003</v>
      </c>
      <c r="R35" s="222">
        <f t="shared" si="5"/>
        <v>22.804852800000003</v>
      </c>
      <c r="S35" s="242">
        <v>1.05904</v>
      </c>
      <c r="T35" s="243">
        <v>5.6266795199999997</v>
      </c>
      <c r="U35" s="241">
        <f t="shared" si="0"/>
        <v>49.977532320000009</v>
      </c>
      <c r="V35" s="241">
        <v>225</v>
      </c>
      <c r="W35" s="239">
        <v>0</v>
      </c>
      <c r="X35" s="240">
        <v>8.4600000000000009</v>
      </c>
      <c r="Y35" s="241">
        <v>4.3</v>
      </c>
      <c r="Z35" s="265">
        <f t="shared" si="1"/>
        <v>287.73753232000001</v>
      </c>
      <c r="AA35" s="244">
        <f t="shared" si="6"/>
        <v>330.898162168</v>
      </c>
      <c r="AB35" s="245">
        <v>123</v>
      </c>
      <c r="AC35" s="246">
        <v>121</v>
      </c>
      <c r="AD35" s="260">
        <v>26</v>
      </c>
      <c r="AE35" s="247">
        <f t="shared" si="2"/>
        <v>453.898162168</v>
      </c>
      <c r="AF35" s="247">
        <f t="shared" si="3"/>
        <v>451.898162168</v>
      </c>
      <c r="AG35" s="248">
        <f t="shared" si="4"/>
        <v>356.898162168</v>
      </c>
      <c r="AH35" s="215">
        <v>800</v>
      </c>
    </row>
    <row r="36" spans="1:34" x14ac:dyDescent="0.2">
      <c r="A36" s="215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249">
        <v>0</v>
      </c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4" x14ac:dyDescent="0.2">
      <c r="A37" s="215"/>
      <c r="B37" s="163" t="s">
        <v>163</v>
      </c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</sheetData>
  <mergeCells count="9">
    <mergeCell ref="AB11:AD11"/>
    <mergeCell ref="AE11:AG11"/>
    <mergeCell ref="A1:E1"/>
    <mergeCell ref="A4:R4"/>
    <mergeCell ref="B11:E11"/>
    <mergeCell ref="F11:H11"/>
    <mergeCell ref="I11:K11"/>
    <mergeCell ref="L11:N11"/>
    <mergeCell ref="O11:Q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59999389629810485"/>
  </sheetPr>
  <dimension ref="B3:G4"/>
  <sheetViews>
    <sheetView workbookViewId="0">
      <selection activeCell="D16" sqref="D16"/>
    </sheetView>
  </sheetViews>
  <sheetFormatPr defaultRowHeight="12.75" x14ac:dyDescent="0.2"/>
  <cols>
    <col min="2" max="2" width="43.140625" customWidth="1"/>
    <col min="3" max="3" width="11.42578125" customWidth="1"/>
    <col min="4" max="4" width="12" customWidth="1"/>
    <col min="5" max="5" width="11.7109375" customWidth="1"/>
    <col min="6" max="6" width="11.140625" customWidth="1"/>
    <col min="7" max="7" width="12.28515625" customWidth="1"/>
  </cols>
  <sheetData>
    <row r="3" spans="2:7" x14ac:dyDescent="0.2">
      <c r="B3" s="133" t="s">
        <v>128</v>
      </c>
      <c r="C3" s="151" t="s">
        <v>123</v>
      </c>
      <c r="D3" s="151" t="s">
        <v>124</v>
      </c>
      <c r="E3" s="151" t="s">
        <v>125</v>
      </c>
      <c r="F3" s="151" t="s">
        <v>126</v>
      </c>
      <c r="G3" s="151" t="s">
        <v>127</v>
      </c>
    </row>
    <row r="4" spans="2:7" x14ac:dyDescent="0.2">
      <c r="B4" s="153" t="s">
        <v>147</v>
      </c>
      <c r="C4" s="150">
        <v>260</v>
      </c>
      <c r="D4" s="150">
        <v>290</v>
      </c>
      <c r="E4" s="150">
        <v>350</v>
      </c>
      <c r="F4" s="150">
        <v>460</v>
      </c>
      <c r="G4" s="150">
        <v>610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59999389629810485"/>
  </sheetPr>
  <dimension ref="A1:M51"/>
  <sheetViews>
    <sheetView workbookViewId="0">
      <selection activeCell="C10" sqref="C10"/>
    </sheetView>
  </sheetViews>
  <sheetFormatPr defaultColWidth="8.85546875" defaultRowHeight="15" x14ac:dyDescent="0.25"/>
  <cols>
    <col min="1" max="1" width="31.7109375" style="122" bestFit="1" customWidth="1"/>
    <col min="2" max="2" width="11" style="122" customWidth="1"/>
    <col min="3" max="4" width="11.85546875" style="122" customWidth="1"/>
    <col min="5" max="5" width="8.85546875" style="122"/>
    <col min="6" max="6" width="12.140625" style="122" customWidth="1"/>
    <col min="7" max="7" width="30.85546875" style="122" bestFit="1" customWidth="1"/>
    <col min="8" max="9" width="8.85546875" style="122"/>
    <col min="10" max="10" width="12.85546875" style="122" customWidth="1"/>
    <col min="11" max="11" width="9" style="122" bestFit="1" customWidth="1"/>
    <col min="12" max="13" width="9.5703125" style="122" bestFit="1" customWidth="1"/>
    <col min="14" max="16384" width="8.85546875" style="122"/>
  </cols>
  <sheetData>
    <row r="1" spans="1:13" x14ac:dyDescent="0.25">
      <c r="A1" s="118" t="s">
        <v>98</v>
      </c>
      <c r="B1" s="119" t="s">
        <v>99</v>
      </c>
      <c r="C1" s="119" t="s">
        <v>100</v>
      </c>
      <c r="D1" s="119" t="s">
        <v>101</v>
      </c>
      <c r="E1" s="119"/>
      <c r="F1" s="119" t="s">
        <v>102</v>
      </c>
      <c r="G1" s="120" t="s">
        <v>103</v>
      </c>
      <c r="H1" s="121" t="s">
        <v>104</v>
      </c>
    </row>
    <row r="2" spans="1:13" x14ac:dyDescent="0.25">
      <c r="A2" s="123" t="s">
        <v>105</v>
      </c>
      <c r="B2" s="124">
        <v>25130</v>
      </c>
      <c r="C2" s="124"/>
      <c r="D2" s="124"/>
      <c r="E2" s="124"/>
      <c r="F2" s="124">
        <f>B2+C2+D2</f>
        <v>25130</v>
      </c>
      <c r="G2" s="125"/>
      <c r="H2" s="121">
        <v>4</v>
      </c>
      <c r="J2" s="140"/>
    </row>
    <row r="3" spans="1:13" x14ac:dyDescent="0.25">
      <c r="A3" s="123" t="s">
        <v>106</v>
      </c>
      <c r="B3" s="123"/>
      <c r="C3" s="124">
        <v>1800</v>
      </c>
      <c r="D3" s="124">
        <v>9040</v>
      </c>
      <c r="E3" s="124"/>
      <c r="F3" s="124">
        <f t="shared" ref="F3:F4" si="0">B3+C3+D3</f>
        <v>10840</v>
      </c>
      <c r="G3" s="125"/>
      <c r="H3" s="121"/>
    </row>
    <row r="4" spans="1:13" x14ac:dyDescent="0.25">
      <c r="A4" s="123" t="s">
        <v>107</v>
      </c>
      <c r="B4" s="124"/>
      <c r="C4" s="124">
        <v>1390</v>
      </c>
      <c r="D4" s="124">
        <v>6970</v>
      </c>
      <c r="E4" s="124"/>
      <c r="F4" s="124">
        <f t="shared" si="0"/>
        <v>8360</v>
      </c>
      <c r="G4" s="125"/>
      <c r="H4" s="121"/>
    </row>
    <row r="5" spans="1:13" x14ac:dyDescent="0.25">
      <c r="B5" s="126"/>
      <c r="C5" s="126"/>
      <c r="D5" s="126"/>
      <c r="E5" s="126"/>
      <c r="F5" s="131">
        <f>F2+F3+F4</f>
        <v>44330</v>
      </c>
      <c r="G5" s="127"/>
      <c r="H5" s="121"/>
    </row>
    <row r="6" spans="1:13" x14ac:dyDescent="0.25">
      <c r="A6" s="118" t="s">
        <v>108</v>
      </c>
      <c r="B6" s="119" t="s">
        <v>99</v>
      </c>
      <c r="C6" s="119" t="s">
        <v>100</v>
      </c>
      <c r="D6" s="119" t="s">
        <v>101</v>
      </c>
      <c r="E6" s="119"/>
      <c r="F6" s="119" t="s">
        <v>102</v>
      </c>
      <c r="G6" s="120" t="s">
        <v>103</v>
      </c>
      <c r="H6" s="121"/>
    </row>
    <row r="7" spans="1:13" x14ac:dyDescent="0.25">
      <c r="A7" s="123" t="s">
        <v>105</v>
      </c>
      <c r="B7" s="124">
        <v>26450</v>
      </c>
      <c r="C7" s="124"/>
      <c r="D7" s="124"/>
      <c r="E7" s="124"/>
      <c r="F7" s="124">
        <f>B7+C7+D7</f>
        <v>26450</v>
      </c>
      <c r="G7" s="128"/>
      <c r="H7" s="121">
        <v>4</v>
      </c>
      <c r="J7" s="140"/>
    </row>
    <row r="8" spans="1:13" x14ac:dyDescent="0.25">
      <c r="A8" s="123" t="s">
        <v>106</v>
      </c>
      <c r="B8" s="123"/>
      <c r="C8" s="124">
        <v>1800</v>
      </c>
      <c r="D8" s="124">
        <v>9040</v>
      </c>
      <c r="E8" s="124"/>
      <c r="F8" s="124">
        <f t="shared" ref="F8:F9" si="1">B8+C8+D8</f>
        <v>10840</v>
      </c>
      <c r="G8" s="128"/>
      <c r="H8" s="121"/>
      <c r="K8" s="140"/>
      <c r="L8" s="140"/>
      <c r="M8" s="140"/>
    </row>
    <row r="9" spans="1:13" x14ac:dyDescent="0.25">
      <c r="A9" s="123" t="s">
        <v>107</v>
      </c>
      <c r="B9" s="124"/>
      <c r="C9" s="124">
        <v>1390</v>
      </c>
      <c r="D9" s="124">
        <v>6970</v>
      </c>
      <c r="E9" s="124"/>
      <c r="F9" s="124">
        <f t="shared" si="1"/>
        <v>8360</v>
      </c>
      <c r="G9" s="128"/>
      <c r="H9" s="121"/>
      <c r="K9" s="140"/>
      <c r="L9" s="140"/>
      <c r="M9" s="140"/>
    </row>
    <row r="10" spans="1:13" x14ac:dyDescent="0.25">
      <c r="E10" s="121"/>
      <c r="F10" s="131">
        <f>F7+F8+F9</f>
        <v>45650</v>
      </c>
      <c r="G10" s="129"/>
      <c r="H10" s="121"/>
      <c r="K10" s="140"/>
      <c r="L10" s="140"/>
      <c r="M10" s="140"/>
    </row>
    <row r="11" spans="1:13" x14ac:dyDescent="0.25">
      <c r="A11" s="118" t="s">
        <v>109</v>
      </c>
      <c r="B11" s="119" t="s">
        <v>99</v>
      </c>
      <c r="C11" s="119" t="s">
        <v>100</v>
      </c>
      <c r="D11" s="119" t="s">
        <v>101</v>
      </c>
      <c r="E11" s="119"/>
      <c r="F11" s="119" t="s">
        <v>102</v>
      </c>
      <c r="G11" s="120" t="s">
        <v>103</v>
      </c>
      <c r="H11" s="121"/>
    </row>
    <row r="12" spans="1:13" x14ac:dyDescent="0.25">
      <c r="A12" s="123" t="s">
        <v>105</v>
      </c>
      <c r="B12" s="124">
        <v>29090</v>
      </c>
      <c r="C12" s="124"/>
      <c r="D12" s="124"/>
      <c r="E12" s="124"/>
      <c r="F12" s="124">
        <f>B12+C12+D12</f>
        <v>29090</v>
      </c>
      <c r="G12" s="128"/>
      <c r="H12" s="121">
        <v>17</v>
      </c>
      <c r="J12" s="141"/>
    </row>
    <row r="13" spans="1:13" x14ac:dyDescent="0.25">
      <c r="A13" s="123" t="s">
        <v>106</v>
      </c>
      <c r="B13" s="123"/>
      <c r="C13" s="124">
        <v>2300</v>
      </c>
      <c r="D13" s="138">
        <v>12280</v>
      </c>
      <c r="E13" s="124"/>
      <c r="F13" s="124">
        <f t="shared" ref="F13:F14" si="2">B13+C13+D13</f>
        <v>14580</v>
      </c>
      <c r="G13" s="128"/>
      <c r="H13" s="121"/>
      <c r="K13" s="140"/>
      <c r="L13" s="141"/>
      <c r="M13" s="140"/>
    </row>
    <row r="14" spans="1:13" x14ac:dyDescent="0.25">
      <c r="A14" s="123" t="s">
        <v>107</v>
      </c>
      <c r="B14" s="124"/>
      <c r="C14" s="124">
        <v>1460</v>
      </c>
      <c r="D14" s="124">
        <v>7300</v>
      </c>
      <c r="E14" s="124"/>
      <c r="F14" s="124">
        <f t="shared" si="2"/>
        <v>8760</v>
      </c>
      <c r="G14" s="128"/>
      <c r="H14" s="121"/>
      <c r="K14" s="140"/>
      <c r="L14" s="141"/>
      <c r="M14" s="140"/>
    </row>
    <row r="15" spans="1:13" x14ac:dyDescent="0.25">
      <c r="E15" s="121"/>
      <c r="F15" s="131">
        <f>F12+F13+F14</f>
        <v>52430</v>
      </c>
      <c r="G15" s="129"/>
      <c r="H15" s="121"/>
    </row>
    <row r="16" spans="1:13" x14ac:dyDescent="0.25">
      <c r="A16" s="118" t="s">
        <v>110</v>
      </c>
      <c r="B16" s="119" t="s">
        <v>99</v>
      </c>
      <c r="C16" s="119" t="s">
        <v>100</v>
      </c>
      <c r="D16" s="119" t="s">
        <v>101</v>
      </c>
      <c r="E16" s="119"/>
      <c r="F16" s="119" t="s">
        <v>102</v>
      </c>
      <c r="G16" s="120" t="s">
        <v>103</v>
      </c>
      <c r="H16" s="121"/>
    </row>
    <row r="17" spans="1:13" x14ac:dyDescent="0.25">
      <c r="A17" s="123" t="s">
        <v>105</v>
      </c>
      <c r="B17" s="124">
        <v>31740</v>
      </c>
      <c r="C17" s="124"/>
      <c r="D17" s="124"/>
      <c r="E17" s="124"/>
      <c r="F17" s="124">
        <f>B17+C17+D17</f>
        <v>31740</v>
      </c>
      <c r="G17" s="128"/>
      <c r="H17" s="121">
        <v>17</v>
      </c>
      <c r="J17" s="140"/>
      <c r="K17" s="140"/>
      <c r="L17" s="140"/>
      <c r="M17" s="140"/>
    </row>
    <row r="18" spans="1:13" x14ac:dyDescent="0.25">
      <c r="A18" s="123" t="s">
        <v>106</v>
      </c>
      <c r="B18" s="123"/>
      <c r="C18" s="124">
        <v>2200</v>
      </c>
      <c r="D18" s="124">
        <v>12780</v>
      </c>
      <c r="E18" s="124"/>
      <c r="F18" s="124">
        <f t="shared" ref="F18:F19" si="3">B18+C18+D18</f>
        <v>14980</v>
      </c>
      <c r="G18" s="128"/>
      <c r="H18" s="121"/>
      <c r="J18" s="140"/>
      <c r="K18" s="140"/>
      <c r="L18" s="141"/>
      <c r="M18" s="140"/>
    </row>
    <row r="19" spans="1:13" x14ac:dyDescent="0.25">
      <c r="A19" s="123" t="s">
        <v>107</v>
      </c>
      <c r="B19" s="124"/>
      <c r="C19" s="124">
        <v>1770</v>
      </c>
      <c r="D19" s="124">
        <v>8900</v>
      </c>
      <c r="E19" s="124"/>
      <c r="F19" s="124">
        <f t="shared" si="3"/>
        <v>10670</v>
      </c>
      <c r="G19" s="128"/>
      <c r="H19" s="121"/>
      <c r="J19" s="140"/>
      <c r="K19" s="140"/>
      <c r="L19" s="140"/>
      <c r="M19" s="140"/>
    </row>
    <row r="20" spans="1:13" x14ac:dyDescent="0.25">
      <c r="E20" s="121"/>
      <c r="F20" s="131">
        <f>F17+F18+F19</f>
        <v>57390</v>
      </c>
      <c r="G20" s="129"/>
      <c r="H20" s="121"/>
      <c r="M20" s="140"/>
    </row>
    <row r="21" spans="1:13" x14ac:dyDescent="0.25">
      <c r="A21" s="118" t="s">
        <v>111</v>
      </c>
      <c r="B21" s="119" t="s">
        <v>99</v>
      </c>
      <c r="C21" s="119" t="s">
        <v>100</v>
      </c>
      <c r="D21" s="119" t="s">
        <v>101</v>
      </c>
      <c r="E21" s="119"/>
      <c r="F21" s="119" t="s">
        <v>102</v>
      </c>
      <c r="G21" s="120" t="s">
        <v>103</v>
      </c>
      <c r="H21" s="121"/>
    </row>
    <row r="22" spans="1:13" x14ac:dyDescent="0.25">
      <c r="A22" s="123" t="s">
        <v>105</v>
      </c>
      <c r="B22" s="124">
        <v>34390</v>
      </c>
      <c r="C22" s="124"/>
      <c r="D22" s="124"/>
      <c r="E22" s="124"/>
      <c r="F22" s="124">
        <f>B22+C22+D22</f>
        <v>34390</v>
      </c>
      <c r="G22" s="128"/>
      <c r="H22" s="121">
        <v>17</v>
      </c>
    </row>
    <row r="23" spans="1:13" x14ac:dyDescent="0.25">
      <c r="A23" s="123" t="s">
        <v>106</v>
      </c>
      <c r="B23" s="123"/>
      <c r="C23" s="124">
        <v>2430</v>
      </c>
      <c r="D23" s="124">
        <v>16180</v>
      </c>
      <c r="E23" s="124"/>
      <c r="F23" s="124">
        <f t="shared" ref="F23:F24" si="4">B23+C23+D23</f>
        <v>18610</v>
      </c>
      <c r="G23" s="128"/>
      <c r="H23" s="121"/>
    </row>
    <row r="24" spans="1:13" x14ac:dyDescent="0.25">
      <c r="A24" s="123" t="s">
        <v>107</v>
      </c>
      <c r="B24" s="130"/>
      <c r="C24" s="124">
        <v>1770</v>
      </c>
      <c r="D24" s="124">
        <v>8900</v>
      </c>
      <c r="E24" s="124"/>
      <c r="F24" s="124">
        <f t="shared" si="4"/>
        <v>10670</v>
      </c>
      <c r="G24" s="128"/>
      <c r="H24" s="121"/>
    </row>
    <row r="25" spans="1:13" x14ac:dyDescent="0.25">
      <c r="E25" s="121"/>
      <c r="F25" s="131">
        <f>F22+F23+F24</f>
        <v>63670</v>
      </c>
      <c r="G25" s="129"/>
      <c r="H25" s="121"/>
    </row>
    <row r="26" spans="1:13" x14ac:dyDescent="0.25">
      <c r="A26" s="118" t="s">
        <v>112</v>
      </c>
      <c r="B26" s="119" t="s">
        <v>99</v>
      </c>
      <c r="C26" s="119" t="s">
        <v>100</v>
      </c>
      <c r="D26" s="119" t="s">
        <v>101</v>
      </c>
      <c r="E26" s="119"/>
      <c r="F26" s="119" t="s">
        <v>102</v>
      </c>
      <c r="G26" s="120" t="s">
        <v>103</v>
      </c>
      <c r="H26" s="121"/>
    </row>
    <row r="27" spans="1:13" x14ac:dyDescent="0.25">
      <c r="A27" s="123" t="s">
        <v>105</v>
      </c>
      <c r="B27" s="124">
        <v>47600</v>
      </c>
      <c r="C27" s="124"/>
      <c r="D27" s="124"/>
      <c r="E27" s="124"/>
      <c r="F27" s="124">
        <f>B27+C27+D27</f>
        <v>47600</v>
      </c>
      <c r="G27" s="128"/>
      <c r="H27" s="121">
        <v>22</v>
      </c>
    </row>
    <row r="28" spans="1:13" x14ac:dyDescent="0.25">
      <c r="A28" s="123" t="s">
        <v>106</v>
      </c>
      <c r="B28" s="123"/>
      <c r="C28" s="124">
        <v>2500</v>
      </c>
      <c r="D28" s="124">
        <v>20810</v>
      </c>
      <c r="E28" s="124"/>
      <c r="F28" s="124">
        <f t="shared" ref="F28:F29" si="5">B28+C28+D28</f>
        <v>23310</v>
      </c>
      <c r="G28" s="128"/>
      <c r="H28" s="121"/>
      <c r="K28" s="142"/>
    </row>
    <row r="29" spans="1:13" x14ac:dyDescent="0.25">
      <c r="A29" s="123" t="s">
        <v>107</v>
      </c>
      <c r="B29" s="130"/>
      <c r="C29" s="124">
        <v>1770</v>
      </c>
      <c r="D29" s="124">
        <v>8900</v>
      </c>
      <c r="E29" s="124"/>
      <c r="F29" s="124">
        <f t="shared" si="5"/>
        <v>10670</v>
      </c>
      <c r="G29" s="128"/>
      <c r="H29" s="121"/>
    </row>
    <row r="30" spans="1:13" x14ac:dyDescent="0.25">
      <c r="E30" s="121"/>
      <c r="F30" s="131">
        <f>F27+F28+F29</f>
        <v>81580</v>
      </c>
      <c r="G30" s="129"/>
      <c r="H30" s="121"/>
    </row>
    <row r="31" spans="1:13" x14ac:dyDescent="0.25">
      <c r="A31" s="118" t="s">
        <v>113</v>
      </c>
      <c r="B31" s="119" t="s">
        <v>99</v>
      </c>
      <c r="C31" s="119" t="s">
        <v>100</v>
      </c>
      <c r="D31" s="119" t="s">
        <v>101</v>
      </c>
      <c r="E31" s="119"/>
      <c r="F31" s="119" t="s">
        <v>102</v>
      </c>
      <c r="G31" s="120" t="s">
        <v>103</v>
      </c>
      <c r="H31" s="121"/>
    </row>
    <row r="32" spans="1:13" x14ac:dyDescent="0.25">
      <c r="A32" s="123" t="s">
        <v>105</v>
      </c>
      <c r="B32" s="124">
        <v>52900</v>
      </c>
      <c r="C32" s="124"/>
      <c r="D32" s="124"/>
      <c r="E32" s="124"/>
      <c r="F32" s="124">
        <f>B32+C32+D32</f>
        <v>52900</v>
      </c>
      <c r="G32" s="128"/>
      <c r="H32" s="121">
        <v>30</v>
      </c>
    </row>
    <row r="33" spans="1:13" x14ac:dyDescent="0.25">
      <c r="A33" s="123" t="s">
        <v>106</v>
      </c>
      <c r="B33" s="123"/>
      <c r="C33" s="124">
        <v>2900</v>
      </c>
      <c r="D33" s="124">
        <v>24150</v>
      </c>
      <c r="E33" s="124"/>
      <c r="F33" s="124">
        <f t="shared" ref="F33:F34" si="6">B33+C33+D33</f>
        <v>27050</v>
      </c>
      <c r="G33" s="128"/>
      <c r="H33" s="121"/>
      <c r="L33" s="142"/>
    </row>
    <row r="34" spans="1:13" x14ac:dyDescent="0.25">
      <c r="A34" s="123" t="s">
        <v>107</v>
      </c>
      <c r="B34" s="130"/>
      <c r="C34" s="124">
        <v>2100</v>
      </c>
      <c r="D34" s="124">
        <v>10500</v>
      </c>
      <c r="E34" s="124"/>
      <c r="F34" s="124">
        <f t="shared" si="6"/>
        <v>12600</v>
      </c>
      <c r="G34" s="128"/>
      <c r="H34" s="121"/>
    </row>
    <row r="35" spans="1:13" x14ac:dyDescent="0.25">
      <c r="E35" s="121"/>
      <c r="F35" s="131">
        <f>F32+F33+F34</f>
        <v>92550</v>
      </c>
      <c r="G35" s="129"/>
      <c r="H35" s="121"/>
    </row>
    <row r="36" spans="1:13" x14ac:dyDescent="0.25">
      <c r="A36" s="118" t="s">
        <v>114</v>
      </c>
      <c r="B36" s="119" t="s">
        <v>99</v>
      </c>
      <c r="C36" s="119" t="s">
        <v>100</v>
      </c>
      <c r="D36" s="119" t="s">
        <v>101</v>
      </c>
      <c r="E36" s="119"/>
      <c r="F36" s="119" t="s">
        <v>102</v>
      </c>
      <c r="G36" s="120" t="s">
        <v>103</v>
      </c>
      <c r="H36" s="121"/>
    </row>
    <row r="37" spans="1:13" x14ac:dyDescent="0.25">
      <c r="A37" s="123" t="s">
        <v>105</v>
      </c>
      <c r="B37" s="124">
        <v>55500</v>
      </c>
      <c r="C37" s="124"/>
      <c r="D37" s="124"/>
      <c r="E37" s="124"/>
      <c r="F37" s="124">
        <f>B37+C37+D37</f>
        <v>55500</v>
      </c>
      <c r="G37" s="128"/>
      <c r="H37" s="121">
        <v>45</v>
      </c>
    </row>
    <row r="38" spans="1:13" x14ac:dyDescent="0.25">
      <c r="A38" s="123" t="s">
        <v>106</v>
      </c>
      <c r="B38" s="123"/>
      <c r="C38" s="124">
        <v>3220</v>
      </c>
      <c r="D38" s="124">
        <v>32340</v>
      </c>
      <c r="E38" s="124"/>
      <c r="F38" s="124">
        <f t="shared" ref="F38:F39" si="7">B38+C38+D38</f>
        <v>35560</v>
      </c>
      <c r="G38" s="128"/>
      <c r="H38" s="121"/>
      <c r="L38" s="142"/>
    </row>
    <row r="39" spans="1:13" x14ac:dyDescent="0.25">
      <c r="A39" s="123" t="s">
        <v>107</v>
      </c>
      <c r="B39" s="130"/>
      <c r="C39" s="124">
        <v>3100</v>
      </c>
      <c r="D39" s="124">
        <v>15500</v>
      </c>
      <c r="E39" s="124"/>
      <c r="F39" s="124">
        <f t="shared" si="7"/>
        <v>18600</v>
      </c>
      <c r="G39" s="128"/>
      <c r="H39" s="121"/>
    </row>
    <row r="40" spans="1:13" x14ac:dyDescent="0.25">
      <c r="E40" s="121"/>
      <c r="F40" s="131">
        <f>F37+F38+F39</f>
        <v>109660</v>
      </c>
      <c r="G40" s="129"/>
      <c r="H40" s="121"/>
    </row>
    <row r="41" spans="1:13" x14ac:dyDescent="0.25">
      <c r="A41" s="118" t="s">
        <v>115</v>
      </c>
      <c r="B41" s="119" t="s">
        <v>99</v>
      </c>
      <c r="C41" s="119" t="s">
        <v>100</v>
      </c>
      <c r="D41" s="119" t="s">
        <v>101</v>
      </c>
      <c r="E41" s="119"/>
      <c r="F41" s="119" t="s">
        <v>102</v>
      </c>
      <c r="G41" s="120" t="s">
        <v>103</v>
      </c>
      <c r="H41" s="121"/>
    </row>
    <row r="42" spans="1:13" x14ac:dyDescent="0.25">
      <c r="A42" s="123" t="s">
        <v>105</v>
      </c>
      <c r="B42" s="124">
        <v>59500</v>
      </c>
      <c r="C42" s="124"/>
      <c r="D42" s="124"/>
      <c r="E42" s="124"/>
      <c r="F42" s="124">
        <f>B42+C42+D42</f>
        <v>59500</v>
      </c>
      <c r="G42" s="128"/>
      <c r="H42" s="121">
        <v>50</v>
      </c>
      <c r="J42" s="143"/>
      <c r="M42" s="143"/>
    </row>
    <row r="43" spans="1:13" x14ac:dyDescent="0.25">
      <c r="A43" s="123" t="s">
        <v>106</v>
      </c>
      <c r="B43" s="123"/>
      <c r="C43" s="124">
        <v>4900</v>
      </c>
      <c r="D43" s="124">
        <v>48900</v>
      </c>
      <c r="E43" s="124"/>
      <c r="F43" s="124">
        <f t="shared" ref="F43:F44" si="8">B43+C43+D43</f>
        <v>53800</v>
      </c>
      <c r="G43" s="128"/>
      <c r="H43" s="121"/>
      <c r="K43" s="143"/>
      <c r="L43" s="144"/>
      <c r="M43" s="143"/>
    </row>
    <row r="44" spans="1:13" x14ac:dyDescent="0.25">
      <c r="A44" s="123" t="s">
        <v>107</v>
      </c>
      <c r="B44" s="130"/>
      <c r="C44" s="124">
        <v>3100</v>
      </c>
      <c r="D44" s="124">
        <v>15500</v>
      </c>
      <c r="E44" s="124"/>
      <c r="F44" s="124">
        <f t="shared" si="8"/>
        <v>18600</v>
      </c>
      <c r="G44" s="128"/>
      <c r="H44" s="121"/>
      <c r="K44" s="143"/>
      <c r="L44" s="143"/>
      <c r="M44" s="143"/>
    </row>
    <row r="45" spans="1:13" x14ac:dyDescent="0.25">
      <c r="E45" s="121"/>
      <c r="F45" s="131">
        <f>F42+F43+F44</f>
        <v>131900</v>
      </c>
      <c r="G45" s="129"/>
      <c r="H45" s="121"/>
      <c r="M45" s="143"/>
    </row>
    <row r="46" spans="1:13" x14ac:dyDescent="0.25">
      <c r="A46" s="118" t="s">
        <v>121</v>
      </c>
      <c r="B46" s="119" t="s">
        <v>99</v>
      </c>
      <c r="C46" s="119" t="s">
        <v>100</v>
      </c>
      <c r="D46" s="119" t="s">
        <v>101</v>
      </c>
      <c r="E46" s="119"/>
      <c r="F46" s="119" t="s">
        <v>102</v>
      </c>
      <c r="G46" s="120" t="s">
        <v>103</v>
      </c>
      <c r="I46" s="139" t="s">
        <v>122</v>
      </c>
      <c r="M46" s="143"/>
    </row>
    <row r="47" spans="1:13" x14ac:dyDescent="0.25">
      <c r="A47" s="123" t="s">
        <v>105</v>
      </c>
      <c r="B47" s="138">
        <v>70100</v>
      </c>
      <c r="C47" s="138"/>
      <c r="D47" s="138"/>
      <c r="E47" s="138"/>
      <c r="F47" s="138">
        <f>B47+C47+D47</f>
        <v>70100</v>
      </c>
      <c r="G47" s="128"/>
    </row>
    <row r="48" spans="1:13" x14ac:dyDescent="0.25">
      <c r="A48" s="123" t="s">
        <v>106</v>
      </c>
      <c r="B48" s="145"/>
      <c r="C48" s="138">
        <v>6400</v>
      </c>
      <c r="D48" s="138">
        <v>59500</v>
      </c>
      <c r="E48" s="138"/>
      <c r="F48" s="138">
        <f t="shared" ref="F48:F49" si="9">B48+C48+D48</f>
        <v>65900</v>
      </c>
      <c r="G48" s="128"/>
    </row>
    <row r="49" spans="1:8" x14ac:dyDescent="0.25">
      <c r="A49" s="123" t="s">
        <v>107</v>
      </c>
      <c r="B49" s="146"/>
      <c r="C49" s="138">
        <v>3900</v>
      </c>
      <c r="D49" s="138">
        <v>18500</v>
      </c>
      <c r="E49" s="138"/>
      <c r="F49" s="138">
        <f t="shared" si="9"/>
        <v>22400</v>
      </c>
      <c r="G49" s="128"/>
    </row>
    <row r="50" spans="1:8" x14ac:dyDescent="0.25">
      <c r="B50" s="147"/>
      <c r="C50" s="147"/>
      <c r="D50" s="147"/>
      <c r="E50" s="148"/>
      <c r="F50" s="149">
        <f>F47+F48+F49</f>
        <v>158400</v>
      </c>
      <c r="G50" s="129"/>
    </row>
    <row r="51" spans="1:8" x14ac:dyDescent="0.25">
      <c r="A51" s="135"/>
      <c r="B51" s="136"/>
      <c r="C51" s="137"/>
      <c r="D51" s="137"/>
      <c r="E51" s="137"/>
      <c r="F51" s="137"/>
      <c r="G51" s="137"/>
      <c r="H51" s="137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44F71-9723-492D-BE7C-2F5E03494B85}">
  <sheetPr>
    <tabColor theme="9" tint="0.59999389629810485"/>
  </sheetPr>
  <dimension ref="A1:BT645"/>
  <sheetViews>
    <sheetView topLeftCell="Z120" workbookViewId="0">
      <selection activeCell="AN120" sqref="AN120"/>
    </sheetView>
  </sheetViews>
  <sheetFormatPr defaultColWidth="5.7109375" defaultRowHeight="15" x14ac:dyDescent="0.25"/>
  <cols>
    <col min="1" max="1" width="0" style="615" hidden="1" customWidth="1"/>
    <col min="2" max="2" width="0" style="707" hidden="1" customWidth="1"/>
    <col min="3" max="3" width="0" style="708" hidden="1" customWidth="1"/>
    <col min="4" max="4" width="0" style="702" hidden="1" customWidth="1"/>
    <col min="5" max="5" width="0" style="709" hidden="1" customWidth="1"/>
    <col min="6" max="6" width="0" style="708" hidden="1" customWidth="1"/>
    <col min="7" max="7" width="0" style="709" hidden="1" customWidth="1"/>
    <col min="8" max="8" width="0" style="710" hidden="1" customWidth="1"/>
    <col min="9" max="9" width="0" style="702" hidden="1" customWidth="1"/>
    <col min="10" max="10" width="0" style="615" hidden="1" customWidth="1"/>
    <col min="11" max="11" width="0" style="708" hidden="1" customWidth="1"/>
    <col min="12" max="12" width="0" style="711" hidden="1" customWidth="1"/>
    <col min="13" max="13" width="0" style="709" hidden="1" customWidth="1"/>
    <col min="14" max="15" width="0" style="703" hidden="1" customWidth="1"/>
    <col min="16" max="16" width="0" style="711" hidden="1" customWidth="1"/>
    <col min="17" max="17" width="0" style="709" hidden="1" customWidth="1"/>
    <col min="18" max="18" width="0" style="615" hidden="1" customWidth="1"/>
    <col min="19" max="19" width="0" style="712" hidden="1" customWidth="1"/>
    <col min="20" max="20" width="0" style="711" hidden="1" customWidth="1"/>
    <col min="21" max="21" width="0" style="713" hidden="1" customWidth="1"/>
    <col min="22" max="24" width="0" style="714" hidden="1" customWidth="1"/>
    <col min="25" max="25" width="0" style="713" hidden="1" customWidth="1"/>
    <col min="26" max="26" width="5.7109375" style="713"/>
    <col min="27" max="47" width="5.7109375" style="706"/>
    <col min="48" max="16384" width="5.7109375" style="603"/>
  </cols>
  <sheetData>
    <row r="1" spans="1:42" hidden="1" x14ac:dyDescent="0.25">
      <c r="A1" s="632"/>
      <c r="B1" s="1075"/>
      <c r="C1" s="1075"/>
      <c r="D1" s="1075"/>
      <c r="E1" s="1075"/>
      <c r="F1" s="1075"/>
      <c r="G1" s="1075"/>
      <c r="H1" s="1075"/>
      <c r="I1" s="1075"/>
      <c r="J1" s="702"/>
      <c r="K1" s="702"/>
      <c r="L1" s="703"/>
      <c r="M1" s="703"/>
      <c r="P1" s="703"/>
      <c r="Q1" s="703"/>
      <c r="R1" s="702"/>
      <c r="S1" s="704"/>
      <c r="T1" s="703"/>
      <c r="U1" s="703"/>
      <c r="V1" s="705"/>
      <c r="W1" s="705"/>
      <c r="X1" s="705"/>
      <c r="Y1" s="703"/>
      <c r="Z1" s="703"/>
    </row>
    <row r="2" spans="1:42" hidden="1" x14ac:dyDescent="0.25">
      <c r="AN2" s="601"/>
      <c r="AO2" s="601"/>
      <c r="AP2" s="601"/>
    </row>
    <row r="3" spans="1:42" hidden="1" x14ac:dyDescent="0.25">
      <c r="V3" s="715"/>
      <c r="W3" s="716"/>
      <c r="X3" s="716"/>
    </row>
    <row r="4" spans="1:42" hidden="1" x14ac:dyDescent="0.25">
      <c r="A4" s="717"/>
      <c r="B4" s="718"/>
      <c r="C4" s="719"/>
      <c r="D4" s="720"/>
      <c r="E4" s="719"/>
      <c r="F4" s="719"/>
      <c r="G4" s="719"/>
      <c r="H4" s="719"/>
      <c r="I4" s="719"/>
      <c r="J4" s="719"/>
      <c r="K4" s="719"/>
      <c r="L4" s="719"/>
      <c r="M4" s="719"/>
      <c r="N4" s="721"/>
      <c r="O4" s="719"/>
      <c r="P4" s="719"/>
      <c r="Q4" s="719"/>
      <c r="R4" s="719"/>
      <c r="S4" s="719"/>
      <c r="T4" s="719"/>
      <c r="U4" s="719"/>
      <c r="V4" s="722"/>
      <c r="W4" s="722"/>
      <c r="X4" s="722"/>
      <c r="Y4" s="723"/>
      <c r="Z4" s="722"/>
    </row>
    <row r="5" spans="1:42" hidden="1" x14ac:dyDescent="0.25">
      <c r="A5" s="717"/>
      <c r="B5" s="718"/>
      <c r="C5" s="719"/>
      <c r="D5" s="720"/>
      <c r="E5" s="719"/>
      <c r="F5" s="719"/>
      <c r="G5" s="719"/>
      <c r="H5" s="719"/>
      <c r="I5" s="721"/>
      <c r="J5" s="719"/>
      <c r="K5" s="719"/>
      <c r="L5" s="719"/>
      <c r="M5" s="719"/>
      <c r="N5" s="721"/>
      <c r="O5" s="721"/>
      <c r="P5" s="719"/>
      <c r="Q5" s="719"/>
      <c r="R5" s="719"/>
      <c r="S5" s="719"/>
      <c r="T5" s="719"/>
      <c r="U5" s="719"/>
      <c r="V5" s="722"/>
      <c r="W5" s="722"/>
      <c r="X5" s="722"/>
      <c r="Y5" s="722"/>
      <c r="Z5" s="724"/>
    </row>
    <row r="6" spans="1:42" hidden="1" x14ac:dyDescent="0.25">
      <c r="B6" s="725"/>
      <c r="C6" s="726"/>
      <c r="D6" s="727"/>
      <c r="E6" s="728"/>
      <c r="F6" s="726"/>
      <c r="G6" s="728"/>
      <c r="H6" s="729"/>
      <c r="I6" s="727"/>
      <c r="J6" s="730"/>
      <c r="K6" s="728"/>
      <c r="L6" s="730"/>
      <c r="M6" s="728"/>
      <c r="N6" s="705"/>
      <c r="O6" s="731"/>
      <c r="P6" s="728"/>
      <c r="Q6" s="728"/>
      <c r="R6" s="730"/>
      <c r="S6" s="636"/>
      <c r="T6" s="732"/>
      <c r="U6" s="733"/>
      <c r="Y6" s="734"/>
      <c r="Z6" s="735"/>
    </row>
    <row r="7" spans="1:42" hidden="1" x14ac:dyDescent="0.25">
      <c r="B7" s="725"/>
      <c r="C7" s="726"/>
      <c r="D7" s="727"/>
      <c r="E7" s="728"/>
      <c r="F7" s="726"/>
      <c r="G7" s="728"/>
      <c r="H7" s="729"/>
      <c r="I7" s="727"/>
      <c r="J7" s="730"/>
      <c r="K7" s="728"/>
      <c r="L7" s="730"/>
      <c r="M7" s="728"/>
      <c r="N7" s="705"/>
      <c r="O7" s="731"/>
      <c r="P7" s="728"/>
      <c r="Q7" s="728"/>
      <c r="R7" s="730"/>
      <c r="S7" s="636"/>
      <c r="T7" s="732"/>
      <c r="U7" s="733"/>
      <c r="Y7" s="734"/>
      <c r="Z7" s="735"/>
    </row>
    <row r="8" spans="1:42" hidden="1" x14ac:dyDescent="0.25">
      <c r="B8" s="725"/>
      <c r="C8" s="726"/>
      <c r="D8" s="727"/>
      <c r="E8" s="728"/>
      <c r="F8" s="726"/>
      <c r="G8" s="728"/>
      <c r="H8" s="729"/>
      <c r="I8" s="727"/>
      <c r="J8" s="730"/>
      <c r="K8" s="728"/>
      <c r="L8" s="730"/>
      <c r="M8" s="728"/>
      <c r="N8" s="705"/>
      <c r="O8" s="731"/>
      <c r="P8" s="728"/>
      <c r="Q8" s="728"/>
      <c r="R8" s="730"/>
      <c r="S8" s="636"/>
      <c r="T8" s="732"/>
      <c r="U8" s="733"/>
      <c r="Y8" s="734"/>
      <c r="Z8" s="735"/>
    </row>
    <row r="9" spans="1:42" hidden="1" x14ac:dyDescent="0.25">
      <c r="B9" s="725"/>
      <c r="C9" s="726"/>
      <c r="D9" s="727"/>
      <c r="E9" s="728"/>
      <c r="F9" s="726"/>
      <c r="G9" s="728"/>
      <c r="H9" s="729"/>
      <c r="I9" s="727"/>
      <c r="J9" s="730"/>
      <c r="K9" s="728"/>
      <c r="L9" s="730"/>
      <c r="M9" s="728"/>
      <c r="N9" s="705"/>
      <c r="O9" s="731"/>
      <c r="P9" s="728"/>
      <c r="Q9" s="728"/>
      <c r="R9" s="730"/>
      <c r="S9" s="636"/>
      <c r="T9" s="732"/>
      <c r="U9" s="733"/>
      <c r="Y9" s="734"/>
      <c r="Z9" s="735"/>
    </row>
    <row r="10" spans="1:42" hidden="1" x14ac:dyDescent="0.25">
      <c r="B10" s="725"/>
      <c r="C10" s="726"/>
      <c r="D10" s="727"/>
      <c r="E10" s="728"/>
      <c r="F10" s="726"/>
      <c r="G10" s="728"/>
      <c r="H10" s="729"/>
      <c r="I10" s="727"/>
      <c r="J10" s="730"/>
      <c r="K10" s="728"/>
      <c r="L10" s="730"/>
      <c r="M10" s="728"/>
      <c r="N10" s="705"/>
      <c r="O10" s="731"/>
      <c r="P10" s="728"/>
      <c r="Q10" s="728"/>
      <c r="R10" s="730"/>
      <c r="S10" s="636"/>
      <c r="T10" s="732"/>
      <c r="U10" s="733"/>
      <c r="Y10" s="734"/>
      <c r="Z10" s="735"/>
    </row>
    <row r="11" spans="1:42" hidden="1" x14ac:dyDescent="0.25">
      <c r="B11" s="725"/>
      <c r="C11" s="726"/>
      <c r="D11" s="727"/>
      <c r="E11" s="728"/>
      <c r="F11" s="726"/>
      <c r="G11" s="728"/>
      <c r="H11" s="729"/>
      <c r="I11" s="727"/>
      <c r="J11" s="730"/>
      <c r="K11" s="728"/>
      <c r="L11" s="730"/>
      <c r="M11" s="728"/>
      <c r="N11" s="705"/>
      <c r="O11" s="731"/>
      <c r="P11" s="728"/>
      <c r="Q11" s="728"/>
      <c r="R11" s="730"/>
      <c r="S11" s="636"/>
      <c r="T11" s="732"/>
      <c r="U11" s="733"/>
      <c r="Y11" s="734"/>
      <c r="Z11" s="735"/>
    </row>
    <row r="12" spans="1:42" hidden="1" x14ac:dyDescent="0.25">
      <c r="B12" s="725"/>
      <c r="C12" s="726"/>
      <c r="D12" s="727"/>
      <c r="E12" s="728"/>
      <c r="F12" s="726"/>
      <c r="G12" s="728"/>
      <c r="H12" s="729"/>
      <c r="I12" s="727"/>
      <c r="J12" s="730"/>
      <c r="K12" s="728"/>
      <c r="L12" s="730"/>
      <c r="M12" s="728"/>
      <c r="N12" s="705"/>
      <c r="O12" s="731"/>
      <c r="P12" s="728"/>
      <c r="Q12" s="728"/>
      <c r="R12" s="730"/>
      <c r="S12" s="636"/>
      <c r="T12" s="732"/>
      <c r="U12" s="733"/>
      <c r="Y12" s="734"/>
      <c r="Z12" s="735"/>
    </row>
    <row r="13" spans="1:42" hidden="1" x14ac:dyDescent="0.25">
      <c r="B13" s="725"/>
      <c r="C13" s="726"/>
      <c r="D13" s="727"/>
      <c r="E13" s="728"/>
      <c r="F13" s="726"/>
      <c r="G13" s="728"/>
      <c r="H13" s="729"/>
      <c r="I13" s="727"/>
      <c r="J13" s="730"/>
      <c r="K13" s="728"/>
      <c r="L13" s="730"/>
      <c r="M13" s="728"/>
      <c r="N13" s="705"/>
      <c r="O13" s="731"/>
      <c r="P13" s="728"/>
      <c r="Q13" s="728"/>
      <c r="R13" s="730"/>
      <c r="S13" s="636"/>
      <c r="T13" s="732"/>
      <c r="U13" s="733"/>
      <c r="Y13" s="734"/>
      <c r="Z13" s="735"/>
    </row>
    <row r="14" spans="1:42" hidden="1" x14ac:dyDescent="0.25">
      <c r="B14" s="725"/>
      <c r="C14" s="726"/>
      <c r="D14" s="727"/>
      <c r="E14" s="728"/>
      <c r="F14" s="726"/>
      <c r="G14" s="728"/>
      <c r="H14" s="729"/>
      <c r="I14" s="727"/>
      <c r="J14" s="730"/>
      <c r="K14" s="728"/>
      <c r="L14" s="730"/>
      <c r="M14" s="728"/>
      <c r="N14" s="705"/>
      <c r="O14" s="731"/>
      <c r="P14" s="728"/>
      <c r="Q14" s="728"/>
      <c r="R14" s="730"/>
      <c r="S14" s="636"/>
      <c r="T14" s="732"/>
      <c r="U14" s="733"/>
      <c r="Y14" s="734"/>
      <c r="Z14" s="735"/>
    </row>
    <row r="15" spans="1:42" hidden="1" x14ac:dyDescent="0.25">
      <c r="B15" s="725"/>
      <c r="C15" s="726"/>
      <c r="D15" s="727"/>
      <c r="E15" s="728"/>
      <c r="F15" s="726"/>
      <c r="G15" s="728"/>
      <c r="H15" s="729"/>
      <c r="I15" s="727"/>
      <c r="J15" s="730"/>
      <c r="K15" s="728"/>
      <c r="L15" s="730"/>
      <c r="M15" s="728"/>
      <c r="N15" s="705"/>
      <c r="O15" s="731"/>
      <c r="P15" s="728"/>
      <c r="Q15" s="728"/>
      <c r="R15" s="730"/>
      <c r="S15" s="636"/>
      <c r="T15" s="732"/>
      <c r="U15" s="733"/>
      <c r="Y15" s="734"/>
      <c r="Z15" s="735"/>
    </row>
    <row r="16" spans="1:42" hidden="1" x14ac:dyDescent="0.25">
      <c r="B16" s="725"/>
      <c r="C16" s="726"/>
      <c r="D16" s="727"/>
      <c r="E16" s="728"/>
      <c r="F16" s="726"/>
      <c r="G16" s="728"/>
      <c r="H16" s="729"/>
      <c r="I16" s="727"/>
      <c r="J16" s="730"/>
      <c r="K16" s="728"/>
      <c r="L16" s="730"/>
      <c r="M16" s="728"/>
      <c r="N16" s="705"/>
      <c r="O16" s="731"/>
      <c r="P16" s="728"/>
      <c r="Q16" s="728"/>
      <c r="R16" s="730"/>
      <c r="S16" s="636"/>
      <c r="T16" s="732"/>
      <c r="U16" s="733"/>
      <c r="Y16" s="734"/>
      <c r="Z16" s="735"/>
    </row>
    <row r="17" spans="2:26" hidden="1" x14ac:dyDescent="0.25">
      <c r="B17" s="725"/>
      <c r="C17" s="726"/>
      <c r="D17" s="727"/>
      <c r="E17" s="728"/>
      <c r="F17" s="726"/>
      <c r="G17" s="728"/>
      <c r="H17" s="729"/>
      <c r="I17" s="727"/>
      <c r="J17" s="730"/>
      <c r="K17" s="728"/>
      <c r="L17" s="730"/>
      <c r="M17" s="728"/>
      <c r="N17" s="705"/>
      <c r="O17" s="731"/>
      <c r="P17" s="728"/>
      <c r="Q17" s="728"/>
      <c r="R17" s="730"/>
      <c r="S17" s="636"/>
      <c r="T17" s="732"/>
      <c r="U17" s="733"/>
      <c r="Y17" s="734"/>
      <c r="Z17" s="735"/>
    </row>
    <row r="18" spans="2:26" hidden="1" x14ac:dyDescent="0.25">
      <c r="B18" s="725"/>
      <c r="C18" s="726"/>
      <c r="D18" s="727"/>
      <c r="E18" s="728"/>
      <c r="F18" s="726"/>
      <c r="G18" s="728"/>
      <c r="H18" s="729"/>
      <c r="I18" s="727"/>
      <c r="J18" s="730"/>
      <c r="K18" s="728"/>
      <c r="L18" s="730"/>
      <c r="M18" s="728"/>
      <c r="N18" s="705"/>
      <c r="O18" s="731"/>
      <c r="P18" s="728"/>
      <c r="Q18" s="728"/>
      <c r="R18" s="730"/>
      <c r="S18" s="636"/>
      <c r="T18" s="732"/>
      <c r="U18" s="733"/>
      <c r="Y18" s="736"/>
      <c r="Z18" s="737"/>
    </row>
    <row r="19" spans="2:26" hidden="1" x14ac:dyDescent="0.25">
      <c r="B19" s="725"/>
      <c r="C19" s="726"/>
      <c r="D19" s="727"/>
      <c r="E19" s="728"/>
      <c r="F19" s="726"/>
      <c r="G19" s="728"/>
      <c r="H19" s="729"/>
      <c r="I19" s="727"/>
      <c r="J19" s="730"/>
      <c r="K19" s="728"/>
      <c r="L19" s="730"/>
      <c r="M19" s="728"/>
      <c r="N19" s="705"/>
      <c r="O19" s="731"/>
      <c r="P19" s="728"/>
      <c r="Q19" s="728"/>
      <c r="R19" s="730"/>
      <c r="S19" s="636"/>
      <c r="T19" s="732"/>
      <c r="U19" s="733"/>
      <c r="Y19" s="734"/>
      <c r="Z19" s="735"/>
    </row>
    <row r="20" spans="2:26" hidden="1" x14ac:dyDescent="0.25">
      <c r="B20" s="725"/>
      <c r="C20" s="726"/>
      <c r="D20" s="727"/>
      <c r="E20" s="728"/>
      <c r="F20" s="726"/>
      <c r="G20" s="728"/>
      <c r="H20" s="729"/>
      <c r="I20" s="727"/>
      <c r="J20" s="730"/>
      <c r="K20" s="728"/>
      <c r="L20" s="730"/>
      <c r="M20" s="728"/>
      <c r="N20" s="705"/>
      <c r="O20" s="731"/>
      <c r="P20" s="728"/>
      <c r="Q20" s="728"/>
      <c r="R20" s="730"/>
      <c r="S20" s="636"/>
      <c r="T20" s="732"/>
      <c r="U20" s="733"/>
      <c r="Y20" s="734"/>
      <c r="Z20" s="735"/>
    </row>
    <row r="21" spans="2:26" hidden="1" x14ac:dyDescent="0.25">
      <c r="B21" s="725"/>
      <c r="C21" s="726"/>
      <c r="D21" s="727"/>
      <c r="E21" s="728"/>
      <c r="F21" s="726"/>
      <c r="G21" s="728"/>
      <c r="H21" s="729"/>
      <c r="I21" s="727"/>
      <c r="J21" s="730"/>
      <c r="K21" s="728"/>
      <c r="L21" s="730"/>
      <c r="M21" s="728"/>
      <c r="N21" s="705"/>
      <c r="O21" s="731"/>
      <c r="P21" s="728"/>
      <c r="Q21" s="728"/>
      <c r="R21" s="730"/>
      <c r="S21" s="636"/>
      <c r="T21" s="732"/>
      <c r="U21" s="733"/>
      <c r="Y21" s="734"/>
      <c r="Z21" s="735"/>
    </row>
    <row r="22" spans="2:26" hidden="1" x14ac:dyDescent="0.25">
      <c r="B22" s="725"/>
      <c r="C22" s="726"/>
      <c r="D22" s="727"/>
      <c r="E22" s="728"/>
      <c r="F22" s="726"/>
      <c r="G22" s="728"/>
      <c r="H22" s="729"/>
      <c r="I22" s="727"/>
      <c r="J22" s="730"/>
      <c r="K22" s="728"/>
      <c r="L22" s="730"/>
      <c r="M22" s="728"/>
      <c r="N22" s="705"/>
      <c r="O22" s="731"/>
      <c r="P22" s="728"/>
      <c r="Q22" s="728"/>
      <c r="R22" s="730"/>
      <c r="S22" s="636"/>
      <c r="T22" s="732"/>
      <c r="U22" s="733"/>
      <c r="Y22" s="734"/>
      <c r="Z22" s="735"/>
    </row>
    <row r="23" spans="2:26" hidden="1" x14ac:dyDescent="0.25">
      <c r="B23" s="725"/>
      <c r="C23" s="726"/>
      <c r="D23" s="727"/>
      <c r="E23" s="728"/>
      <c r="F23" s="726"/>
      <c r="G23" s="728"/>
      <c r="H23" s="729"/>
      <c r="I23" s="727"/>
      <c r="J23" s="730"/>
      <c r="K23" s="728"/>
      <c r="L23" s="730"/>
      <c r="M23" s="728"/>
      <c r="N23" s="705"/>
      <c r="O23" s="731"/>
      <c r="P23" s="728"/>
      <c r="Q23" s="728"/>
      <c r="R23" s="730"/>
      <c r="S23" s="636"/>
      <c r="T23" s="732"/>
      <c r="U23" s="733"/>
      <c r="Y23" s="734"/>
      <c r="Z23" s="735"/>
    </row>
    <row r="24" spans="2:26" hidden="1" x14ac:dyDescent="0.25">
      <c r="B24" s="725"/>
      <c r="C24" s="726"/>
      <c r="D24" s="727"/>
      <c r="E24" s="728"/>
      <c r="F24" s="726"/>
      <c r="G24" s="728"/>
      <c r="H24" s="729"/>
      <c r="I24" s="727"/>
      <c r="J24" s="730"/>
      <c r="K24" s="728"/>
      <c r="L24" s="730"/>
      <c r="M24" s="728"/>
      <c r="N24" s="705"/>
      <c r="O24" s="731"/>
      <c r="P24" s="728"/>
      <c r="Q24" s="728"/>
      <c r="R24" s="730"/>
      <c r="S24" s="636"/>
      <c r="T24" s="732"/>
      <c r="U24" s="733"/>
      <c r="Y24" s="734"/>
      <c r="Z24" s="735"/>
    </row>
    <row r="25" spans="2:26" hidden="1" x14ac:dyDescent="0.25">
      <c r="B25" s="725"/>
      <c r="C25" s="726"/>
      <c r="D25" s="727"/>
      <c r="E25" s="728"/>
      <c r="F25" s="726"/>
      <c r="G25" s="728"/>
      <c r="H25" s="729"/>
      <c r="I25" s="727"/>
      <c r="J25" s="730"/>
      <c r="K25" s="728"/>
      <c r="L25" s="730"/>
      <c r="M25" s="728"/>
      <c r="N25" s="705"/>
      <c r="O25" s="731"/>
      <c r="P25" s="728"/>
      <c r="Q25" s="728"/>
      <c r="R25" s="730"/>
      <c r="S25" s="636"/>
      <c r="T25" s="732"/>
      <c r="U25" s="733"/>
      <c r="Y25" s="734"/>
      <c r="Z25" s="735"/>
    </row>
    <row r="26" spans="2:26" hidden="1" x14ac:dyDescent="0.25">
      <c r="B26" s="725"/>
      <c r="C26" s="726"/>
      <c r="D26" s="727"/>
      <c r="E26" s="728"/>
      <c r="F26" s="726"/>
      <c r="G26" s="728"/>
      <c r="H26" s="729"/>
      <c r="I26" s="727"/>
      <c r="J26" s="730"/>
      <c r="K26" s="728"/>
      <c r="L26" s="730"/>
      <c r="M26" s="728"/>
      <c r="N26" s="705"/>
      <c r="O26" s="731"/>
      <c r="P26" s="728"/>
      <c r="Q26" s="728"/>
      <c r="R26" s="730"/>
      <c r="S26" s="636"/>
      <c r="T26" s="732"/>
      <c r="U26" s="733"/>
      <c r="Y26" s="734"/>
      <c r="Z26" s="735"/>
    </row>
    <row r="27" spans="2:26" hidden="1" x14ac:dyDescent="0.25">
      <c r="B27" s="725"/>
      <c r="C27" s="726"/>
      <c r="D27" s="727"/>
      <c r="E27" s="728"/>
      <c r="F27" s="726"/>
      <c r="G27" s="728"/>
      <c r="H27" s="729"/>
      <c r="I27" s="727"/>
      <c r="J27" s="730"/>
      <c r="K27" s="728"/>
      <c r="L27" s="730"/>
      <c r="M27" s="728"/>
      <c r="N27" s="705"/>
      <c r="O27" s="731"/>
      <c r="P27" s="728"/>
      <c r="Q27" s="728"/>
      <c r="R27" s="730"/>
      <c r="S27" s="636"/>
      <c r="T27" s="732"/>
      <c r="U27" s="733"/>
      <c r="Y27" s="734"/>
      <c r="Z27" s="735"/>
    </row>
    <row r="28" spans="2:26" hidden="1" x14ac:dyDescent="0.25">
      <c r="B28" s="725"/>
      <c r="C28" s="726"/>
      <c r="D28" s="727"/>
      <c r="E28" s="728"/>
      <c r="F28" s="726"/>
      <c r="G28" s="728"/>
      <c r="H28" s="729"/>
      <c r="I28" s="727"/>
      <c r="J28" s="730"/>
      <c r="K28" s="728"/>
      <c r="L28" s="730"/>
      <c r="M28" s="728"/>
      <c r="N28" s="705"/>
      <c r="O28" s="731"/>
      <c r="P28" s="728"/>
      <c r="Q28" s="728"/>
      <c r="R28" s="730"/>
      <c r="S28" s="636"/>
      <c r="T28" s="732"/>
      <c r="U28" s="733"/>
      <c r="Y28" s="734"/>
      <c r="Z28" s="735"/>
    </row>
    <row r="29" spans="2:26" hidden="1" x14ac:dyDescent="0.25">
      <c r="B29" s="725"/>
      <c r="C29" s="726"/>
      <c r="D29" s="727"/>
      <c r="E29" s="728"/>
      <c r="F29" s="726"/>
      <c r="G29" s="728"/>
      <c r="H29" s="729"/>
      <c r="I29" s="727"/>
      <c r="J29" s="730"/>
      <c r="K29" s="728"/>
      <c r="L29" s="730"/>
      <c r="M29" s="728"/>
      <c r="N29" s="705"/>
      <c r="O29" s="731"/>
      <c r="P29" s="728"/>
      <c r="Q29" s="728"/>
      <c r="R29" s="730"/>
      <c r="S29" s="636"/>
      <c r="T29" s="732"/>
      <c r="U29" s="733"/>
      <c r="Y29" s="734"/>
      <c r="Z29" s="735"/>
    </row>
    <row r="30" spans="2:26" hidden="1" x14ac:dyDescent="0.25">
      <c r="B30" s="725"/>
      <c r="C30" s="726"/>
      <c r="D30" s="727"/>
      <c r="E30" s="728"/>
      <c r="F30" s="726"/>
      <c r="G30" s="728"/>
      <c r="H30" s="729"/>
      <c r="I30" s="727"/>
      <c r="J30" s="730"/>
      <c r="K30" s="728"/>
      <c r="L30" s="730"/>
      <c r="M30" s="728"/>
      <c r="N30" s="705"/>
      <c r="O30" s="731"/>
      <c r="P30" s="728"/>
      <c r="Q30" s="728"/>
      <c r="R30" s="730"/>
      <c r="S30" s="636"/>
      <c r="T30" s="732"/>
      <c r="U30" s="733"/>
      <c r="Y30" s="734"/>
      <c r="Z30" s="735"/>
    </row>
    <row r="31" spans="2:26" hidden="1" x14ac:dyDescent="0.25">
      <c r="B31" s="725"/>
      <c r="C31" s="726"/>
      <c r="D31" s="727"/>
      <c r="E31" s="728"/>
      <c r="F31" s="726"/>
      <c r="G31" s="728"/>
      <c r="H31" s="729"/>
      <c r="I31" s="727"/>
      <c r="J31" s="730"/>
      <c r="K31" s="728"/>
      <c r="L31" s="730"/>
      <c r="M31" s="728"/>
      <c r="N31" s="705"/>
      <c r="O31" s="731"/>
      <c r="P31" s="728"/>
      <c r="Q31" s="728"/>
      <c r="R31" s="730"/>
      <c r="S31" s="636"/>
      <c r="T31" s="732"/>
      <c r="U31" s="733"/>
      <c r="Y31" s="734"/>
      <c r="Z31" s="735"/>
    </row>
    <row r="32" spans="2:26" hidden="1" x14ac:dyDescent="0.25">
      <c r="B32" s="725"/>
      <c r="C32" s="726"/>
      <c r="D32" s="727"/>
      <c r="E32" s="728"/>
      <c r="F32" s="726"/>
      <c r="G32" s="728"/>
      <c r="H32" s="729"/>
      <c r="I32" s="727"/>
      <c r="J32" s="730"/>
      <c r="K32" s="728"/>
      <c r="L32" s="730"/>
      <c r="M32" s="728"/>
      <c r="N32" s="705"/>
      <c r="O32" s="731"/>
      <c r="P32" s="728"/>
      <c r="Q32" s="728"/>
      <c r="R32" s="730"/>
      <c r="S32" s="636"/>
      <c r="T32" s="732"/>
      <c r="U32" s="733"/>
      <c r="Y32" s="734"/>
      <c r="Z32" s="735"/>
    </row>
    <row r="33" spans="2:26" hidden="1" x14ac:dyDescent="0.25">
      <c r="B33" s="725"/>
      <c r="C33" s="726"/>
      <c r="D33" s="727"/>
      <c r="E33" s="728"/>
      <c r="F33" s="726"/>
      <c r="G33" s="728"/>
      <c r="H33" s="729"/>
      <c r="I33" s="727"/>
      <c r="J33" s="730"/>
      <c r="K33" s="728"/>
      <c r="L33" s="730"/>
      <c r="M33" s="728"/>
      <c r="N33" s="705"/>
      <c r="O33" s="731"/>
      <c r="P33" s="728"/>
      <c r="Q33" s="728"/>
      <c r="R33" s="730"/>
      <c r="S33" s="636"/>
      <c r="T33" s="732"/>
      <c r="U33" s="733"/>
      <c r="Y33" s="734"/>
      <c r="Z33" s="735"/>
    </row>
    <row r="34" spans="2:26" hidden="1" x14ac:dyDescent="0.25">
      <c r="B34" s="725"/>
      <c r="C34" s="726"/>
      <c r="D34" s="727"/>
      <c r="E34" s="728"/>
      <c r="F34" s="726"/>
      <c r="G34" s="728"/>
      <c r="H34" s="729"/>
      <c r="I34" s="727"/>
      <c r="J34" s="730"/>
      <c r="K34" s="728"/>
      <c r="L34" s="730"/>
      <c r="M34" s="728"/>
      <c r="N34" s="705"/>
      <c r="O34" s="731"/>
      <c r="P34" s="728"/>
      <c r="Q34" s="728"/>
      <c r="R34" s="730"/>
      <c r="S34" s="636"/>
      <c r="T34" s="732"/>
      <c r="U34" s="733"/>
      <c r="Y34" s="734"/>
      <c r="Z34" s="735"/>
    </row>
    <row r="35" spans="2:26" hidden="1" x14ac:dyDescent="0.25">
      <c r="B35" s="725"/>
      <c r="C35" s="726"/>
      <c r="D35" s="727"/>
      <c r="E35" s="728"/>
      <c r="F35" s="726"/>
      <c r="G35" s="728"/>
      <c r="H35" s="729"/>
      <c r="I35" s="727"/>
      <c r="J35" s="730"/>
      <c r="K35" s="728"/>
      <c r="L35" s="730"/>
      <c r="M35" s="728"/>
      <c r="N35" s="705"/>
      <c r="O35" s="731"/>
      <c r="P35" s="728"/>
      <c r="Q35" s="728"/>
      <c r="R35" s="730"/>
      <c r="S35" s="636"/>
      <c r="T35" s="732"/>
      <c r="U35" s="733"/>
      <c r="Y35" s="734"/>
      <c r="Z35" s="735"/>
    </row>
    <row r="36" spans="2:26" hidden="1" x14ac:dyDescent="0.25">
      <c r="B36" s="725"/>
      <c r="C36" s="726"/>
      <c r="D36" s="727"/>
      <c r="E36" s="728"/>
      <c r="F36" s="726"/>
      <c r="G36" s="728"/>
      <c r="H36" s="729"/>
      <c r="I36" s="727"/>
      <c r="J36" s="730"/>
      <c r="K36" s="728"/>
      <c r="L36" s="730"/>
      <c r="M36" s="728"/>
      <c r="N36" s="705"/>
      <c r="O36" s="731"/>
      <c r="P36" s="728"/>
      <c r="Q36" s="728"/>
      <c r="R36" s="730"/>
      <c r="S36" s="636"/>
      <c r="T36" s="732"/>
      <c r="U36" s="733"/>
      <c r="Y36" s="734"/>
      <c r="Z36" s="735"/>
    </row>
    <row r="37" spans="2:26" hidden="1" x14ac:dyDescent="0.25">
      <c r="B37" s="725"/>
      <c r="C37" s="726"/>
      <c r="D37" s="727"/>
      <c r="E37" s="728"/>
      <c r="F37" s="726"/>
      <c r="G37" s="728"/>
      <c r="H37" s="729"/>
      <c r="I37" s="727"/>
      <c r="J37" s="730"/>
      <c r="K37" s="728"/>
      <c r="L37" s="730"/>
      <c r="M37" s="728"/>
      <c r="N37" s="705"/>
      <c r="O37" s="731"/>
      <c r="P37" s="728"/>
      <c r="Q37" s="728"/>
      <c r="R37" s="730"/>
      <c r="S37" s="636"/>
      <c r="T37" s="732"/>
      <c r="U37" s="733"/>
      <c r="Y37" s="734"/>
      <c r="Z37" s="735"/>
    </row>
    <row r="38" spans="2:26" hidden="1" x14ac:dyDescent="0.25">
      <c r="B38" s="725"/>
      <c r="C38" s="726"/>
      <c r="D38" s="727"/>
      <c r="E38" s="728"/>
      <c r="F38" s="726"/>
      <c r="G38" s="728"/>
      <c r="H38" s="729"/>
      <c r="I38" s="727"/>
      <c r="J38" s="730"/>
      <c r="K38" s="728"/>
      <c r="L38" s="730"/>
      <c r="M38" s="728"/>
      <c r="N38" s="705"/>
      <c r="O38" s="731"/>
      <c r="P38" s="728"/>
      <c r="Q38" s="728"/>
      <c r="R38" s="730"/>
      <c r="S38" s="636"/>
      <c r="T38" s="732"/>
      <c r="U38" s="733"/>
      <c r="Y38" s="734"/>
      <c r="Z38" s="735"/>
    </row>
    <row r="39" spans="2:26" hidden="1" x14ac:dyDescent="0.25">
      <c r="B39" s="725"/>
      <c r="C39" s="726"/>
      <c r="D39" s="727"/>
      <c r="E39" s="728"/>
      <c r="F39" s="726"/>
      <c r="G39" s="728"/>
      <c r="H39" s="729"/>
      <c r="I39" s="727"/>
      <c r="J39" s="730"/>
      <c r="K39" s="728"/>
      <c r="L39" s="730"/>
      <c r="M39" s="728"/>
      <c r="N39" s="705"/>
      <c r="O39" s="731"/>
      <c r="P39" s="728"/>
      <c r="Q39" s="728"/>
      <c r="R39" s="730"/>
      <c r="S39" s="636"/>
      <c r="T39" s="732"/>
      <c r="U39" s="733"/>
      <c r="Y39" s="734"/>
      <c r="Z39" s="735"/>
    </row>
    <row r="40" spans="2:26" hidden="1" x14ac:dyDescent="0.25">
      <c r="B40" s="725"/>
      <c r="C40" s="726"/>
      <c r="D40" s="727"/>
      <c r="E40" s="728"/>
      <c r="F40" s="726"/>
      <c r="G40" s="728"/>
      <c r="H40" s="729"/>
      <c r="I40" s="727"/>
      <c r="J40" s="730"/>
      <c r="K40" s="728"/>
      <c r="L40" s="730"/>
      <c r="M40" s="728"/>
      <c r="N40" s="705"/>
      <c r="O40" s="731"/>
      <c r="P40" s="728"/>
      <c r="Q40" s="728"/>
      <c r="R40" s="730"/>
      <c r="S40" s="636"/>
      <c r="T40" s="732"/>
      <c r="U40" s="733"/>
      <c r="Y40" s="734"/>
      <c r="Z40" s="735"/>
    </row>
    <row r="41" spans="2:26" hidden="1" x14ac:dyDescent="0.25">
      <c r="B41" s="725"/>
      <c r="C41" s="726"/>
      <c r="D41" s="727"/>
      <c r="E41" s="728"/>
      <c r="F41" s="726"/>
      <c r="G41" s="728"/>
      <c r="H41" s="729"/>
      <c r="I41" s="727"/>
      <c r="J41" s="730"/>
      <c r="K41" s="728"/>
      <c r="L41" s="730"/>
      <c r="M41" s="728"/>
      <c r="N41" s="705"/>
      <c r="O41" s="731"/>
      <c r="P41" s="728"/>
      <c r="Q41" s="728"/>
      <c r="R41" s="730"/>
      <c r="S41" s="636"/>
      <c r="T41" s="732"/>
      <c r="U41" s="733"/>
      <c r="Y41" s="734"/>
      <c r="Z41" s="735"/>
    </row>
    <row r="42" spans="2:26" hidden="1" x14ac:dyDescent="0.25">
      <c r="B42" s="725"/>
      <c r="C42" s="726"/>
      <c r="D42" s="727"/>
      <c r="E42" s="728"/>
      <c r="F42" s="726"/>
      <c r="G42" s="728"/>
      <c r="H42" s="729"/>
      <c r="I42" s="727"/>
      <c r="J42" s="730"/>
      <c r="K42" s="728"/>
      <c r="L42" s="730"/>
      <c r="M42" s="728"/>
      <c r="N42" s="705"/>
      <c r="O42" s="731"/>
      <c r="P42" s="728"/>
      <c r="Q42" s="728"/>
      <c r="R42" s="730"/>
      <c r="S42" s="636"/>
      <c r="T42" s="732"/>
      <c r="U42" s="733"/>
      <c r="Y42" s="734"/>
      <c r="Z42" s="735"/>
    </row>
    <row r="43" spans="2:26" hidden="1" x14ac:dyDescent="0.25">
      <c r="B43" s="725"/>
      <c r="C43" s="726"/>
      <c r="D43" s="727"/>
      <c r="E43" s="728"/>
      <c r="F43" s="726"/>
      <c r="G43" s="728"/>
      <c r="H43" s="729"/>
      <c r="I43" s="727"/>
      <c r="J43" s="730"/>
      <c r="K43" s="728"/>
      <c r="L43" s="730"/>
      <c r="M43" s="728"/>
      <c r="N43" s="705"/>
      <c r="O43" s="731"/>
      <c r="P43" s="728"/>
      <c r="Q43" s="728"/>
      <c r="R43" s="730"/>
      <c r="S43" s="636"/>
      <c r="T43" s="732"/>
      <c r="U43" s="733"/>
      <c r="Y43" s="734"/>
      <c r="Z43" s="735"/>
    </row>
    <row r="44" spans="2:26" hidden="1" x14ac:dyDescent="0.25">
      <c r="B44" s="725"/>
      <c r="C44" s="726"/>
      <c r="D44" s="727"/>
      <c r="E44" s="728"/>
      <c r="F44" s="726"/>
      <c r="G44" s="728"/>
      <c r="H44" s="729"/>
      <c r="I44" s="727"/>
      <c r="J44" s="730"/>
      <c r="K44" s="728"/>
      <c r="L44" s="730"/>
      <c r="M44" s="728"/>
      <c r="N44" s="705"/>
      <c r="O44" s="731"/>
      <c r="P44" s="728"/>
      <c r="Q44" s="728"/>
      <c r="R44" s="730"/>
      <c r="S44" s="636"/>
      <c r="T44" s="732"/>
      <c r="U44" s="733"/>
      <c r="Y44" s="734"/>
      <c r="Z44" s="735"/>
    </row>
    <row r="45" spans="2:26" hidden="1" x14ac:dyDescent="0.25">
      <c r="B45" s="725"/>
      <c r="C45" s="726"/>
      <c r="D45" s="727"/>
      <c r="E45" s="728"/>
      <c r="F45" s="726"/>
      <c r="G45" s="728"/>
      <c r="H45" s="729"/>
      <c r="I45" s="727"/>
      <c r="J45" s="730"/>
      <c r="K45" s="728"/>
      <c r="L45" s="730"/>
      <c r="M45" s="728"/>
      <c r="N45" s="705"/>
      <c r="O45" s="731"/>
      <c r="P45" s="728"/>
      <c r="Q45" s="728"/>
      <c r="R45" s="730"/>
      <c r="S45" s="636"/>
      <c r="T45" s="732"/>
      <c r="U45" s="733"/>
      <c r="Y45" s="734"/>
      <c r="Z45" s="735"/>
    </row>
    <row r="46" spans="2:26" hidden="1" x14ac:dyDescent="0.25">
      <c r="B46" s="725"/>
      <c r="C46" s="726"/>
      <c r="D46" s="727"/>
      <c r="E46" s="728"/>
      <c r="F46" s="726"/>
      <c r="G46" s="728"/>
      <c r="H46" s="729"/>
      <c r="I46" s="727"/>
      <c r="J46" s="730"/>
      <c r="K46" s="728"/>
      <c r="L46" s="730"/>
      <c r="M46" s="728"/>
      <c r="N46" s="705"/>
      <c r="O46" s="731"/>
      <c r="P46" s="728"/>
      <c r="Q46" s="728"/>
      <c r="R46" s="730"/>
      <c r="S46" s="636"/>
      <c r="T46" s="732"/>
      <c r="U46" s="733"/>
      <c r="Y46" s="734"/>
      <c r="Z46" s="735"/>
    </row>
    <row r="47" spans="2:26" hidden="1" x14ac:dyDescent="0.25">
      <c r="B47" s="725"/>
      <c r="C47" s="726"/>
      <c r="D47" s="727"/>
      <c r="E47" s="728"/>
      <c r="F47" s="726"/>
      <c r="G47" s="728"/>
      <c r="H47" s="729"/>
      <c r="I47" s="727"/>
      <c r="J47" s="730"/>
      <c r="K47" s="728"/>
      <c r="L47" s="730"/>
      <c r="M47" s="728"/>
      <c r="N47" s="705"/>
      <c r="O47" s="731"/>
      <c r="P47" s="728"/>
      <c r="Q47" s="728"/>
      <c r="R47" s="730"/>
      <c r="S47" s="636"/>
      <c r="T47" s="732"/>
      <c r="U47" s="733"/>
      <c r="Y47" s="734"/>
      <c r="Z47" s="735"/>
    </row>
    <row r="48" spans="2:26" hidden="1" x14ac:dyDescent="0.25">
      <c r="B48" s="725"/>
      <c r="C48" s="726"/>
      <c r="D48" s="727"/>
      <c r="E48" s="728"/>
      <c r="F48" s="726"/>
      <c r="G48" s="728"/>
      <c r="H48" s="729"/>
      <c r="I48" s="727"/>
      <c r="J48" s="730"/>
      <c r="K48" s="728"/>
      <c r="L48" s="730"/>
      <c r="M48" s="728"/>
      <c r="N48" s="705"/>
      <c r="O48" s="731"/>
      <c r="P48" s="728"/>
      <c r="Q48" s="728"/>
      <c r="R48" s="730"/>
      <c r="S48" s="636"/>
      <c r="T48" s="732"/>
      <c r="U48" s="733"/>
      <c r="Y48" s="734"/>
      <c r="Z48" s="735"/>
    </row>
    <row r="49" spans="2:26" hidden="1" x14ac:dyDescent="0.25">
      <c r="B49" s="725"/>
      <c r="C49" s="726"/>
      <c r="D49" s="727"/>
      <c r="E49" s="728"/>
      <c r="F49" s="726"/>
      <c r="G49" s="728"/>
      <c r="H49" s="729"/>
      <c r="I49" s="727"/>
      <c r="J49" s="730"/>
      <c r="K49" s="728"/>
      <c r="L49" s="730"/>
      <c r="M49" s="728"/>
      <c r="N49" s="705"/>
      <c r="O49" s="731"/>
      <c r="P49" s="728"/>
      <c r="Q49" s="728"/>
      <c r="R49" s="730"/>
      <c r="S49" s="636"/>
      <c r="T49" s="732"/>
      <c r="U49" s="733"/>
      <c r="Y49" s="734"/>
      <c r="Z49" s="735"/>
    </row>
    <row r="50" spans="2:26" hidden="1" x14ac:dyDescent="0.25">
      <c r="B50" s="725"/>
      <c r="C50" s="726"/>
      <c r="D50" s="727"/>
      <c r="E50" s="728"/>
      <c r="F50" s="726"/>
      <c r="G50" s="728"/>
      <c r="H50" s="729"/>
      <c r="I50" s="727"/>
      <c r="J50" s="730"/>
      <c r="K50" s="728"/>
      <c r="L50" s="730"/>
      <c r="M50" s="728"/>
      <c r="N50" s="705"/>
      <c r="O50" s="731"/>
      <c r="P50" s="728"/>
      <c r="Q50" s="728"/>
      <c r="R50" s="730"/>
      <c r="S50" s="636"/>
      <c r="T50" s="732"/>
      <c r="U50" s="733"/>
      <c r="Y50" s="734"/>
      <c r="Z50" s="735"/>
    </row>
    <row r="51" spans="2:26" hidden="1" x14ac:dyDescent="0.25">
      <c r="B51" s="725"/>
      <c r="C51" s="726"/>
      <c r="D51" s="727"/>
      <c r="E51" s="728"/>
      <c r="F51" s="726"/>
      <c r="G51" s="728"/>
      <c r="H51" s="729"/>
      <c r="I51" s="727"/>
      <c r="J51" s="730"/>
      <c r="K51" s="728"/>
      <c r="L51" s="730"/>
      <c r="M51" s="728"/>
      <c r="N51" s="705"/>
      <c r="O51" s="731"/>
      <c r="P51" s="728"/>
      <c r="Q51" s="728"/>
      <c r="R51" s="730"/>
      <c r="S51" s="636"/>
      <c r="T51" s="732"/>
      <c r="U51" s="733"/>
      <c r="Y51" s="734"/>
      <c r="Z51" s="735"/>
    </row>
    <row r="52" spans="2:26" hidden="1" x14ac:dyDescent="0.25">
      <c r="B52" s="725"/>
      <c r="C52" s="726"/>
      <c r="D52" s="727"/>
      <c r="E52" s="728"/>
      <c r="F52" s="726"/>
      <c r="G52" s="728"/>
      <c r="H52" s="729"/>
      <c r="I52" s="727"/>
      <c r="J52" s="730"/>
      <c r="K52" s="728"/>
      <c r="L52" s="730"/>
      <c r="M52" s="728"/>
      <c r="N52" s="731"/>
      <c r="O52" s="731"/>
      <c r="P52" s="728"/>
      <c r="Q52" s="728"/>
      <c r="R52" s="730"/>
      <c r="S52" s="636"/>
      <c r="T52" s="732"/>
      <c r="U52" s="733"/>
      <c r="Y52" s="734"/>
      <c r="Z52" s="735"/>
    </row>
    <row r="53" spans="2:26" hidden="1" x14ac:dyDescent="0.25">
      <c r="B53" s="725"/>
      <c r="C53" s="726"/>
      <c r="D53" s="727"/>
      <c r="E53" s="728"/>
      <c r="F53" s="726"/>
      <c r="G53" s="728"/>
      <c r="H53" s="729"/>
      <c r="I53" s="727"/>
      <c r="J53" s="730"/>
      <c r="K53" s="728"/>
      <c r="L53" s="730"/>
      <c r="M53" s="728"/>
      <c r="N53" s="705"/>
      <c r="O53" s="731"/>
      <c r="P53" s="728"/>
      <c r="Q53" s="728"/>
      <c r="R53" s="730"/>
      <c r="S53" s="636"/>
      <c r="T53" s="732"/>
      <c r="U53" s="733"/>
      <c r="Y53" s="734"/>
      <c r="Z53" s="735"/>
    </row>
    <row r="54" spans="2:26" hidden="1" x14ac:dyDescent="0.25">
      <c r="B54" s="725"/>
      <c r="C54" s="726"/>
      <c r="D54" s="727"/>
      <c r="E54" s="728"/>
      <c r="F54" s="726"/>
      <c r="G54" s="728"/>
      <c r="H54" s="729"/>
      <c r="I54" s="727"/>
      <c r="J54" s="730"/>
      <c r="K54" s="728"/>
      <c r="L54" s="730"/>
      <c r="M54" s="728"/>
      <c r="N54" s="705"/>
      <c r="O54" s="731"/>
      <c r="P54" s="728"/>
      <c r="Q54" s="728"/>
      <c r="R54" s="730"/>
      <c r="S54" s="636"/>
      <c r="T54" s="732"/>
      <c r="U54" s="733"/>
      <c r="Y54" s="734"/>
      <c r="Z54" s="735"/>
    </row>
    <row r="55" spans="2:26" hidden="1" x14ac:dyDescent="0.25">
      <c r="B55" s="725"/>
      <c r="C55" s="726"/>
      <c r="D55" s="727"/>
      <c r="E55" s="728"/>
      <c r="F55" s="726"/>
      <c r="G55" s="728"/>
      <c r="H55" s="729"/>
      <c r="I55" s="727"/>
      <c r="J55" s="730"/>
      <c r="K55" s="728"/>
      <c r="L55" s="730"/>
      <c r="M55" s="728"/>
      <c r="N55" s="705"/>
      <c r="O55" s="731"/>
      <c r="P55" s="728"/>
      <c r="Q55" s="728"/>
      <c r="R55" s="730"/>
      <c r="S55" s="636"/>
      <c r="T55" s="732"/>
      <c r="U55" s="733"/>
      <c r="Y55" s="734"/>
      <c r="Z55" s="735"/>
    </row>
    <row r="56" spans="2:26" hidden="1" x14ac:dyDescent="0.25">
      <c r="B56" s="725"/>
      <c r="C56" s="726"/>
      <c r="D56" s="727"/>
      <c r="E56" s="728"/>
      <c r="F56" s="726"/>
      <c r="G56" s="728"/>
      <c r="H56" s="729"/>
      <c r="I56" s="727"/>
      <c r="J56" s="730"/>
      <c r="K56" s="728"/>
      <c r="L56" s="730"/>
      <c r="M56" s="728"/>
      <c r="N56" s="705"/>
      <c r="O56" s="731"/>
      <c r="P56" s="728"/>
      <c r="Q56" s="728"/>
      <c r="R56" s="730"/>
      <c r="S56" s="636"/>
      <c r="T56" s="732"/>
      <c r="U56" s="733"/>
      <c r="Y56" s="734"/>
      <c r="Z56" s="735"/>
    </row>
    <row r="57" spans="2:26" hidden="1" x14ac:dyDescent="0.25">
      <c r="B57" s="725"/>
      <c r="C57" s="726"/>
      <c r="D57" s="727"/>
      <c r="E57" s="728"/>
      <c r="F57" s="726"/>
      <c r="G57" s="728"/>
      <c r="H57" s="729"/>
      <c r="I57" s="727"/>
      <c r="J57" s="730"/>
      <c r="K57" s="728"/>
      <c r="L57" s="730"/>
      <c r="M57" s="728"/>
      <c r="N57" s="705"/>
      <c r="O57" s="731"/>
      <c r="P57" s="728"/>
      <c r="Q57" s="728"/>
      <c r="R57" s="730"/>
      <c r="S57" s="636"/>
      <c r="T57" s="732"/>
      <c r="U57" s="733"/>
      <c r="Y57" s="734"/>
      <c r="Z57" s="735"/>
    </row>
    <row r="58" spans="2:26" hidden="1" x14ac:dyDescent="0.25">
      <c r="B58" s="725"/>
      <c r="C58" s="726"/>
      <c r="D58" s="727"/>
      <c r="E58" s="728"/>
      <c r="F58" s="726"/>
      <c r="G58" s="728"/>
      <c r="H58" s="729"/>
      <c r="I58" s="727"/>
      <c r="J58" s="730"/>
      <c r="K58" s="728"/>
      <c r="L58" s="730"/>
      <c r="M58" s="728"/>
      <c r="N58" s="705"/>
      <c r="O58" s="731"/>
      <c r="P58" s="728"/>
      <c r="Q58" s="728"/>
      <c r="R58" s="730"/>
      <c r="S58" s="636"/>
      <c r="T58" s="732"/>
      <c r="U58" s="733"/>
      <c r="Y58" s="734"/>
      <c r="Z58" s="735"/>
    </row>
    <row r="59" spans="2:26" hidden="1" x14ac:dyDescent="0.25">
      <c r="B59" s="725"/>
      <c r="C59" s="726"/>
      <c r="D59" s="727"/>
      <c r="E59" s="728"/>
      <c r="F59" s="726"/>
      <c r="G59" s="728"/>
      <c r="H59" s="729"/>
      <c r="I59" s="727"/>
      <c r="J59" s="730"/>
      <c r="K59" s="728"/>
      <c r="L59" s="730"/>
      <c r="M59" s="728"/>
      <c r="N59" s="705"/>
      <c r="O59" s="731"/>
      <c r="P59" s="728"/>
      <c r="Q59" s="728"/>
      <c r="R59" s="730"/>
      <c r="S59" s="636"/>
      <c r="T59" s="732"/>
      <c r="U59" s="733"/>
      <c r="Y59" s="734"/>
      <c r="Z59" s="735"/>
    </row>
    <row r="60" spans="2:26" hidden="1" x14ac:dyDescent="0.25">
      <c r="B60" s="725"/>
      <c r="C60" s="726"/>
      <c r="D60" s="727"/>
      <c r="E60" s="728"/>
      <c r="F60" s="726"/>
      <c r="G60" s="728"/>
      <c r="H60" s="729"/>
      <c r="I60" s="727"/>
      <c r="J60" s="730"/>
      <c r="K60" s="728"/>
      <c r="L60" s="730"/>
      <c r="M60" s="728"/>
      <c r="N60" s="705"/>
      <c r="O60" s="731"/>
      <c r="P60" s="728"/>
      <c r="Q60" s="728"/>
      <c r="R60" s="730"/>
      <c r="S60" s="636"/>
      <c r="T60" s="732"/>
      <c r="U60" s="733"/>
      <c r="Y60" s="734"/>
      <c r="Z60" s="735"/>
    </row>
    <row r="61" spans="2:26" hidden="1" x14ac:dyDescent="0.25">
      <c r="B61" s="725"/>
      <c r="C61" s="726"/>
      <c r="D61" s="727"/>
      <c r="E61" s="728"/>
      <c r="F61" s="726"/>
      <c r="G61" s="728"/>
      <c r="H61" s="729"/>
      <c r="I61" s="727"/>
      <c r="J61" s="730"/>
      <c r="K61" s="728"/>
      <c r="L61" s="730"/>
      <c r="M61" s="728"/>
      <c r="N61" s="705"/>
      <c r="O61" s="731"/>
      <c r="P61" s="728"/>
      <c r="Q61" s="728"/>
      <c r="R61" s="730"/>
      <c r="S61" s="636"/>
      <c r="T61" s="732"/>
      <c r="U61" s="733"/>
      <c r="Y61" s="734"/>
      <c r="Z61" s="735"/>
    </row>
    <row r="62" spans="2:26" hidden="1" x14ac:dyDescent="0.25">
      <c r="B62" s="725"/>
      <c r="C62" s="726"/>
      <c r="D62" s="727"/>
      <c r="E62" s="728"/>
      <c r="F62" s="726"/>
      <c r="G62" s="728"/>
      <c r="H62" s="729"/>
      <c r="I62" s="727"/>
      <c r="J62" s="730"/>
      <c r="K62" s="728"/>
      <c r="L62" s="730"/>
      <c r="M62" s="728"/>
      <c r="N62" s="705"/>
      <c r="O62" s="731"/>
      <c r="P62" s="728"/>
      <c r="Q62" s="728"/>
      <c r="R62" s="730"/>
      <c r="S62" s="636"/>
      <c r="T62" s="732"/>
      <c r="U62" s="733"/>
      <c r="Y62" s="734"/>
      <c r="Z62" s="735"/>
    </row>
    <row r="63" spans="2:26" hidden="1" x14ac:dyDescent="0.25">
      <c r="B63" s="725"/>
      <c r="C63" s="726"/>
      <c r="D63" s="727"/>
      <c r="E63" s="728"/>
      <c r="F63" s="726"/>
      <c r="G63" s="728"/>
      <c r="H63" s="729"/>
      <c r="I63" s="727"/>
      <c r="J63" s="730"/>
      <c r="K63" s="728"/>
      <c r="L63" s="730"/>
      <c r="M63" s="728"/>
      <c r="N63" s="705"/>
      <c r="O63" s="731"/>
      <c r="P63" s="728"/>
      <c r="Q63" s="728"/>
      <c r="R63" s="730"/>
      <c r="S63" s="636"/>
      <c r="T63" s="732"/>
      <c r="U63" s="733"/>
      <c r="Y63" s="734"/>
      <c r="Z63" s="735"/>
    </row>
    <row r="64" spans="2:26" hidden="1" x14ac:dyDescent="0.25">
      <c r="B64" s="725"/>
      <c r="C64" s="726"/>
      <c r="D64" s="727"/>
      <c r="E64" s="728"/>
      <c r="F64" s="726"/>
      <c r="G64" s="728"/>
      <c r="H64" s="729"/>
      <c r="I64" s="727"/>
      <c r="J64" s="730"/>
      <c r="K64" s="728"/>
      <c r="L64" s="730"/>
      <c r="M64" s="728"/>
      <c r="N64" s="705"/>
      <c r="O64" s="731"/>
      <c r="P64" s="728"/>
      <c r="Q64" s="728"/>
      <c r="R64" s="730"/>
      <c r="S64" s="636"/>
      <c r="T64" s="732"/>
      <c r="U64" s="733"/>
      <c r="Y64" s="734"/>
      <c r="Z64" s="735"/>
    </row>
    <row r="65" spans="1:72" hidden="1" x14ac:dyDescent="0.25">
      <c r="B65" s="725"/>
      <c r="C65" s="726"/>
      <c r="D65" s="727"/>
      <c r="E65" s="728"/>
      <c r="F65" s="726"/>
      <c r="G65" s="728"/>
      <c r="H65" s="729"/>
      <c r="I65" s="727"/>
      <c r="J65" s="730"/>
      <c r="K65" s="728"/>
      <c r="L65" s="730"/>
      <c r="M65" s="728"/>
      <c r="N65" s="705"/>
      <c r="O65" s="731"/>
      <c r="P65" s="728"/>
      <c r="Q65" s="728"/>
      <c r="R65" s="730"/>
      <c r="S65" s="636"/>
      <c r="T65" s="732"/>
      <c r="U65" s="733"/>
      <c r="Y65" s="734"/>
      <c r="Z65" s="735"/>
    </row>
    <row r="66" spans="1:72" hidden="1" x14ac:dyDescent="0.25">
      <c r="B66" s="725"/>
      <c r="C66" s="726"/>
      <c r="D66" s="727"/>
      <c r="E66" s="728"/>
      <c r="F66" s="726"/>
      <c r="G66" s="728"/>
      <c r="H66" s="729"/>
      <c r="I66" s="727"/>
      <c r="J66" s="730"/>
      <c r="K66" s="728"/>
      <c r="L66" s="730"/>
      <c r="M66" s="728"/>
      <c r="N66" s="705"/>
      <c r="O66" s="705"/>
      <c r="P66" s="728"/>
      <c r="Q66" s="728"/>
      <c r="R66" s="730"/>
      <c r="S66" s="636"/>
      <c r="T66" s="732"/>
      <c r="U66" s="733"/>
      <c r="Y66" s="734"/>
      <c r="Z66" s="738"/>
    </row>
    <row r="67" spans="1:72" hidden="1" x14ac:dyDescent="0.25">
      <c r="B67" s="725"/>
      <c r="C67" s="726"/>
      <c r="D67" s="727"/>
      <c r="E67" s="728"/>
      <c r="F67" s="726"/>
      <c r="G67" s="728"/>
      <c r="H67" s="729"/>
      <c r="I67" s="727"/>
      <c r="J67" s="730"/>
      <c r="K67" s="728"/>
      <c r="L67" s="730"/>
      <c r="M67" s="728"/>
      <c r="N67" s="705"/>
      <c r="O67" s="705"/>
      <c r="P67" s="728"/>
      <c r="Q67" s="728"/>
      <c r="R67" s="730"/>
      <c r="S67" s="636"/>
      <c r="T67" s="732"/>
      <c r="U67" s="733"/>
      <c r="Y67" s="734"/>
      <c r="Z67" s="738"/>
    </row>
    <row r="68" spans="1:72" hidden="1" x14ac:dyDescent="0.25">
      <c r="B68" s="739"/>
      <c r="C68" s="607"/>
      <c r="D68" s="612"/>
      <c r="E68" s="698"/>
      <c r="F68" s="698"/>
      <c r="G68" s="609"/>
      <c r="H68" s="729"/>
      <c r="I68" s="612"/>
      <c r="J68" s="698"/>
      <c r="K68" s="698"/>
      <c r="L68" s="730"/>
      <c r="M68" s="698"/>
      <c r="N68" s="727"/>
      <c r="O68" s="730"/>
      <c r="P68" s="698"/>
      <c r="Q68" s="698"/>
      <c r="R68" s="730"/>
      <c r="S68" s="730"/>
      <c r="T68" s="730"/>
      <c r="U68" s="733"/>
      <c r="V68" s="730"/>
      <c r="W68" s="730"/>
      <c r="X68" s="730"/>
      <c r="Y68" s="734"/>
      <c r="Z68" s="740"/>
      <c r="AA68" s="604"/>
    </row>
    <row r="69" spans="1:72" hidden="1" x14ac:dyDescent="0.25">
      <c r="B69" s="606"/>
      <c r="C69" s="607"/>
      <c r="D69" s="608"/>
      <c r="E69" s="698"/>
      <c r="F69" s="698"/>
      <c r="G69" s="609"/>
      <c r="H69" s="610"/>
      <c r="I69" s="611"/>
      <c r="J69" s="698"/>
      <c r="K69" s="698"/>
      <c r="L69" s="741"/>
      <c r="M69" s="607"/>
      <c r="N69" s="742"/>
      <c r="O69" s="742"/>
      <c r="P69" s="607"/>
      <c r="Q69" s="698"/>
      <c r="R69" s="741"/>
      <c r="S69" s="636"/>
      <c r="T69" s="743"/>
      <c r="U69" s="724"/>
      <c r="Y69" s="608"/>
      <c r="Z69" s="613"/>
      <c r="AA69" s="605"/>
    </row>
    <row r="70" spans="1:72" hidden="1" x14ac:dyDescent="0.25">
      <c r="B70" s="606"/>
      <c r="C70" s="607"/>
      <c r="D70" s="608"/>
      <c r="E70" s="698"/>
      <c r="F70" s="698"/>
      <c r="G70" s="609"/>
      <c r="H70" s="610"/>
      <c r="I70" s="611"/>
      <c r="J70" s="698"/>
      <c r="K70" s="698"/>
      <c r="L70" s="741"/>
      <c r="M70" s="607"/>
      <c r="N70" s="742"/>
      <c r="O70" s="742"/>
      <c r="P70" s="607"/>
      <c r="Q70" s="698"/>
      <c r="R70" s="741"/>
      <c r="S70" s="636"/>
      <c r="T70" s="743"/>
      <c r="U70" s="724"/>
      <c r="Y70" s="608"/>
      <c r="Z70" s="613"/>
      <c r="AA70" s="605"/>
    </row>
    <row r="71" spans="1:72" hidden="1" x14ac:dyDescent="0.25">
      <c r="B71" s="606"/>
      <c r="C71" s="607"/>
      <c r="D71" s="608"/>
      <c r="E71" s="698"/>
      <c r="F71" s="698"/>
      <c r="G71" s="609"/>
      <c r="H71" s="610"/>
      <c r="I71" s="611"/>
      <c r="J71" s="698"/>
      <c r="K71" s="698"/>
      <c r="L71" s="741"/>
      <c r="M71" s="607"/>
      <c r="N71" s="742"/>
      <c r="O71" s="742"/>
      <c r="P71" s="607"/>
      <c r="Q71" s="698"/>
      <c r="R71" s="741"/>
      <c r="S71" s="636"/>
      <c r="T71" s="743"/>
      <c r="U71" s="724"/>
      <c r="Y71" s="608"/>
      <c r="Z71" s="613"/>
      <c r="AA71" s="605"/>
    </row>
    <row r="72" spans="1:72" hidden="1" x14ac:dyDescent="0.25">
      <c r="B72" s="606"/>
      <c r="C72" s="607"/>
      <c r="D72" s="608"/>
      <c r="E72" s="698"/>
      <c r="F72" s="698"/>
      <c r="G72" s="609"/>
      <c r="H72" s="610"/>
      <c r="I72" s="611"/>
      <c r="J72" s="698"/>
      <c r="K72" s="698"/>
      <c r="L72" s="606"/>
      <c r="M72" s="607"/>
      <c r="N72" s="611"/>
      <c r="O72" s="612"/>
      <c r="P72" s="613"/>
      <c r="Q72" s="614"/>
      <c r="R72" s="741"/>
      <c r="S72" s="636"/>
      <c r="T72" s="743"/>
      <c r="U72" s="724"/>
      <c r="Y72" s="724"/>
      <c r="Z72" s="724"/>
      <c r="AA72" s="605"/>
    </row>
    <row r="73" spans="1:72" ht="30" hidden="1" customHeight="1" x14ac:dyDescent="0.25">
      <c r="B73" s="606"/>
      <c r="C73" s="607"/>
      <c r="D73" s="608"/>
      <c r="E73" s="698"/>
      <c r="F73" s="698"/>
      <c r="G73" s="609"/>
      <c r="H73" s="610"/>
      <c r="I73" s="611"/>
      <c r="J73" s="698"/>
      <c r="K73" s="698"/>
      <c r="L73" s="606"/>
      <c r="M73" s="607"/>
      <c r="N73" s="611"/>
      <c r="O73" s="612"/>
      <c r="P73" s="613"/>
      <c r="Q73" s="614"/>
      <c r="R73" s="741"/>
      <c r="S73" s="636"/>
      <c r="T73" s="743"/>
      <c r="U73" s="724"/>
      <c r="Y73" s="724"/>
      <c r="Z73" s="724"/>
      <c r="AA73" s="605"/>
    </row>
    <row r="74" spans="1:72" ht="45.75" hidden="1" customHeight="1" x14ac:dyDescent="0.25">
      <c r="B74" s="606"/>
      <c r="C74" s="607"/>
      <c r="D74" s="608"/>
      <c r="E74" s="698"/>
      <c r="F74" s="698"/>
      <c r="G74" s="609"/>
      <c r="H74" s="610"/>
      <c r="I74" s="611"/>
      <c r="J74" s="698"/>
      <c r="K74" s="698"/>
      <c r="L74" s="606"/>
      <c r="M74" s="607"/>
      <c r="N74" s="611"/>
      <c r="O74" s="612"/>
      <c r="P74" s="613"/>
      <c r="Q74" s="614"/>
      <c r="R74" s="741"/>
      <c r="S74" s="636"/>
      <c r="T74" s="743"/>
      <c r="U74" s="724"/>
      <c r="Y74" s="724"/>
      <c r="Z74" s="724"/>
    </row>
    <row r="75" spans="1:72" ht="21.75" customHeight="1" x14ac:dyDescent="0.25">
      <c r="B75" s="744"/>
      <c r="C75" s="745"/>
      <c r="D75" s="746"/>
      <c r="E75" s="640"/>
      <c r="F75" s="745"/>
      <c r="G75" s="640"/>
      <c r="H75" s="747"/>
      <c r="I75" s="746"/>
      <c r="J75" s="741"/>
      <c r="K75" s="745"/>
      <c r="L75" s="743"/>
      <c r="M75" s="640"/>
      <c r="N75" s="742"/>
      <c r="O75" s="742"/>
      <c r="P75" s="743"/>
      <c r="Q75" s="640"/>
      <c r="R75" s="741"/>
      <c r="S75" s="636"/>
      <c r="T75" s="743"/>
      <c r="U75" s="724"/>
      <c r="Y75" s="724"/>
      <c r="Z75" s="724"/>
      <c r="AA75" s="708"/>
      <c r="AB75" s="708"/>
      <c r="AC75" s="708"/>
      <c r="AD75" s="708"/>
      <c r="AE75" s="708"/>
      <c r="AF75" s="708"/>
      <c r="AG75" s="708"/>
      <c r="AH75" s="708"/>
      <c r="AI75" s="708"/>
      <c r="AJ75" s="708"/>
      <c r="AK75" s="708"/>
      <c r="AL75" s="708"/>
      <c r="AM75" s="708"/>
      <c r="AN75" s="708"/>
      <c r="AO75" s="708"/>
      <c r="AP75" s="708"/>
      <c r="AQ75" s="708"/>
      <c r="AR75" s="708"/>
      <c r="AS75" s="708"/>
      <c r="AT75" s="708"/>
      <c r="AU75" s="708"/>
      <c r="AV75" s="615"/>
      <c r="AW75" s="615"/>
      <c r="AX75" s="615"/>
      <c r="AY75" s="615"/>
      <c r="AZ75" s="615"/>
      <c r="BA75" s="615"/>
      <c r="BB75" s="615"/>
      <c r="BC75" s="615"/>
      <c r="BD75" s="615"/>
      <c r="BE75" s="615"/>
      <c r="BF75" s="615"/>
      <c r="BG75" s="615"/>
      <c r="BH75" s="615"/>
      <c r="BI75" s="615"/>
      <c r="BJ75" s="615"/>
      <c r="BK75" s="615"/>
      <c r="BL75" s="615"/>
      <c r="BM75" s="615"/>
      <c r="BN75" s="615"/>
      <c r="BO75" s="615"/>
      <c r="BP75" s="615"/>
      <c r="BQ75" s="615"/>
      <c r="BR75" s="615"/>
      <c r="BS75" s="615"/>
      <c r="BT75" s="615"/>
    </row>
    <row r="76" spans="1:72" ht="16.5" thickBot="1" x14ac:dyDescent="0.3">
      <c r="B76" s="1075"/>
      <c r="C76" s="1075"/>
      <c r="D76" s="1075"/>
      <c r="E76" s="1075"/>
      <c r="F76" s="1075"/>
      <c r="G76" s="1075"/>
      <c r="H76" s="1075"/>
      <c r="I76" s="1075"/>
      <c r="J76" s="1075"/>
      <c r="K76" s="1075"/>
      <c r="L76" s="1075"/>
      <c r="M76" s="1075"/>
      <c r="N76" s="1075"/>
      <c r="O76" s="1075"/>
      <c r="P76" s="1075"/>
      <c r="Q76" s="1075"/>
      <c r="R76" s="1075"/>
      <c r="S76" s="1075"/>
      <c r="T76" s="1075"/>
      <c r="U76" s="1075"/>
      <c r="V76" s="1075"/>
      <c r="W76" s="1075"/>
      <c r="X76" s="1075"/>
      <c r="Y76" s="1075"/>
      <c r="Z76" s="1075"/>
      <c r="AA76" s="748" t="s">
        <v>598</v>
      </c>
      <c r="AB76" s="748"/>
      <c r="AC76" s="748"/>
      <c r="AD76" s="749"/>
      <c r="AE76" s="749"/>
      <c r="AF76" s="749"/>
      <c r="AG76" s="749"/>
      <c r="AH76" s="749"/>
      <c r="AI76" s="749"/>
      <c r="AJ76" s="749"/>
      <c r="AK76" s="749"/>
      <c r="AL76" s="749"/>
      <c r="AM76" s="749"/>
      <c r="AN76" s="749"/>
      <c r="AO76" s="749"/>
      <c r="AP76" s="749"/>
      <c r="AQ76" s="749"/>
      <c r="AR76" s="749"/>
      <c r="AS76" s="749"/>
      <c r="AT76" s="749"/>
      <c r="AU76" s="749"/>
      <c r="AV76" s="750"/>
      <c r="AW76" s="750"/>
      <c r="AX76" s="750"/>
      <c r="AY76" s="750"/>
      <c r="AZ76" s="750"/>
      <c r="BA76" s="751"/>
      <c r="BB76" s="615"/>
      <c r="BC76" s="615"/>
      <c r="BD76" s="615"/>
      <c r="BE76" s="615"/>
      <c r="BF76" s="615"/>
      <c r="BG76" s="615"/>
      <c r="BH76" s="615"/>
      <c r="BI76" s="615"/>
      <c r="BJ76" s="615"/>
      <c r="BK76" s="615"/>
      <c r="BL76" s="615"/>
      <c r="BM76" s="615"/>
      <c r="BN76" s="615"/>
      <c r="BO76" s="615"/>
      <c r="BP76" s="615"/>
      <c r="BQ76" s="615"/>
      <c r="BR76" s="615"/>
      <c r="BS76" s="615"/>
      <c r="BT76" s="615"/>
    </row>
    <row r="77" spans="1:72" ht="15.75" thickBot="1" x14ac:dyDescent="0.3">
      <c r="B77" s="606"/>
      <c r="C77" s="607"/>
      <c r="D77" s="608"/>
      <c r="E77" s="698"/>
      <c r="F77" s="698"/>
      <c r="G77" s="609"/>
      <c r="H77" s="610"/>
      <c r="I77" s="611"/>
      <c r="J77" s="698"/>
      <c r="K77" s="698"/>
      <c r="L77" s="606"/>
      <c r="M77" s="607"/>
      <c r="N77" s="611"/>
      <c r="O77" s="612"/>
      <c r="P77" s="613"/>
      <c r="Q77" s="752"/>
      <c r="R77" s="730"/>
      <c r="S77" s="636"/>
      <c r="T77" s="732"/>
      <c r="U77" s="714"/>
      <c r="Y77" s="714"/>
      <c r="Z77" s="714"/>
      <c r="AA77" s="753"/>
      <c r="AB77" s="753"/>
      <c r="AC77" s="753"/>
      <c r="AD77" s="754"/>
      <c r="AE77" s="754"/>
      <c r="AF77" s="754"/>
      <c r="AG77" s="754"/>
      <c r="AH77" s="754"/>
      <c r="AI77" s="754"/>
      <c r="AJ77" s="754"/>
      <c r="AK77" s="754"/>
      <c r="AL77" s="754"/>
      <c r="AM77" s="754"/>
      <c r="AN77" s="755">
        <v>0.6</v>
      </c>
      <c r="AO77" s="756">
        <v>0.1</v>
      </c>
      <c r="AP77" s="757">
        <v>0.3</v>
      </c>
      <c r="AQ77" s="754"/>
      <c r="AR77" s="754"/>
      <c r="AS77" s="754"/>
      <c r="AT77" s="754"/>
      <c r="AU77" s="754"/>
      <c r="AV77" s="616"/>
      <c r="AW77" s="616"/>
      <c r="AX77" s="741"/>
      <c r="AY77" s="741"/>
      <c r="AZ77" s="741"/>
      <c r="BA77" s="615"/>
      <c r="BB77" s="615"/>
      <c r="BC77" s="615"/>
      <c r="BD77" s="615"/>
      <c r="BE77" s="615"/>
      <c r="BF77" s="615"/>
      <c r="BG77" s="615"/>
      <c r="BH77" s="615"/>
      <c r="BI77" s="615"/>
      <c r="BJ77" s="615"/>
      <c r="BK77" s="615"/>
      <c r="BL77" s="615"/>
      <c r="BM77" s="615"/>
      <c r="BN77" s="615"/>
      <c r="BO77" s="615"/>
      <c r="BP77" s="615"/>
      <c r="BQ77" s="615"/>
      <c r="BR77" s="615"/>
      <c r="BS77" s="615"/>
      <c r="BT77" s="615"/>
    </row>
    <row r="78" spans="1:72" ht="84.75" thickBot="1" x14ac:dyDescent="0.3">
      <c r="A78" s="717"/>
      <c r="B78" s="718"/>
      <c r="C78" s="719"/>
      <c r="D78" s="720"/>
      <c r="E78" s="719"/>
      <c r="F78" s="719"/>
      <c r="G78" s="719"/>
      <c r="H78" s="719"/>
      <c r="I78" s="719"/>
      <c r="J78" s="719"/>
      <c r="K78" s="719"/>
      <c r="L78" s="719"/>
      <c r="M78" s="719"/>
      <c r="N78" s="721"/>
      <c r="O78" s="719"/>
      <c r="P78" s="719"/>
      <c r="Q78" s="719"/>
      <c r="R78" s="719"/>
      <c r="S78" s="719"/>
      <c r="T78" s="719"/>
      <c r="U78" s="719"/>
      <c r="V78" s="722"/>
      <c r="W78" s="722"/>
      <c r="X78" s="722"/>
      <c r="Y78" s="723"/>
      <c r="Z78" s="722"/>
      <c r="AA78" s="758" t="s">
        <v>430</v>
      </c>
      <c r="AB78" s="759" t="s">
        <v>431</v>
      </c>
      <c r="AC78" s="759" t="s">
        <v>432</v>
      </c>
      <c r="AD78" s="759" t="s">
        <v>433</v>
      </c>
      <c r="AE78" s="759" t="s">
        <v>434</v>
      </c>
      <c r="AF78" s="759" t="s">
        <v>435</v>
      </c>
      <c r="AG78" s="760" t="s">
        <v>436</v>
      </c>
      <c r="AH78" s="761" t="s">
        <v>437</v>
      </c>
      <c r="AI78" s="619" t="s">
        <v>438</v>
      </c>
      <c r="AJ78" s="619" t="s">
        <v>439</v>
      </c>
      <c r="AK78" s="619" t="s">
        <v>440</v>
      </c>
      <c r="AL78" s="619" t="s">
        <v>441</v>
      </c>
      <c r="AM78" s="619" t="s">
        <v>442</v>
      </c>
      <c r="AN78" s="619" t="s">
        <v>169</v>
      </c>
      <c r="AO78" s="619" t="s">
        <v>100</v>
      </c>
      <c r="AP78" s="619" t="s">
        <v>101</v>
      </c>
      <c r="AQ78" s="619" t="s">
        <v>599</v>
      </c>
      <c r="AR78" s="620" t="s">
        <v>443</v>
      </c>
      <c r="AS78" s="618" t="s">
        <v>444</v>
      </c>
      <c r="AT78" s="619" t="s">
        <v>445</v>
      </c>
      <c r="AU78" s="620" t="s">
        <v>600</v>
      </c>
      <c r="AV78" s="619" t="s">
        <v>601</v>
      </c>
      <c r="AW78" s="722"/>
      <c r="AX78" s="616"/>
      <c r="AY78" s="762"/>
      <c r="AZ78" s="606"/>
      <c r="BA78" s="763"/>
      <c r="BB78" s="763"/>
      <c r="BC78" s="763"/>
      <c r="BD78" s="763"/>
      <c r="BE78" s="763"/>
      <c r="BF78" s="763"/>
      <c r="BG78" s="763"/>
      <c r="BH78" s="763"/>
      <c r="BI78" s="763"/>
      <c r="BJ78" s="763"/>
      <c r="BK78" s="763"/>
      <c r="BL78" s="763"/>
      <c r="BM78" s="763"/>
      <c r="BN78" s="763"/>
      <c r="BO78" s="763"/>
      <c r="BP78" s="763"/>
      <c r="BQ78" s="763"/>
      <c r="BR78" s="763"/>
      <c r="BS78" s="763"/>
      <c r="BT78" s="763"/>
    </row>
    <row r="79" spans="1:72" ht="24.75" thickBot="1" x14ac:dyDescent="0.3">
      <c r="A79" s="717"/>
      <c r="B79" s="718"/>
      <c r="C79" s="719"/>
      <c r="D79" s="720"/>
      <c r="E79" s="719"/>
      <c r="F79" s="719"/>
      <c r="G79" s="719"/>
      <c r="H79" s="719"/>
      <c r="I79" s="721"/>
      <c r="J79" s="719"/>
      <c r="K79" s="719"/>
      <c r="L79" s="719"/>
      <c r="M79" s="719"/>
      <c r="N79" s="721"/>
      <c r="O79" s="721"/>
      <c r="P79" s="719"/>
      <c r="Q79" s="719"/>
      <c r="R79" s="719"/>
      <c r="S79" s="719"/>
      <c r="T79" s="719"/>
      <c r="U79" s="719"/>
      <c r="V79" s="722"/>
      <c r="W79" s="722"/>
      <c r="X79" s="722"/>
      <c r="Y79" s="722"/>
      <c r="Z79" s="714"/>
      <c r="AA79" s="764"/>
      <c r="AB79" s="765"/>
      <c r="AC79" s="765" t="s">
        <v>423</v>
      </c>
      <c r="AD79" s="765" t="s">
        <v>423</v>
      </c>
      <c r="AE79" s="765" t="s">
        <v>424</v>
      </c>
      <c r="AF79" s="765" t="s">
        <v>424</v>
      </c>
      <c r="AG79" s="766" t="s">
        <v>425</v>
      </c>
      <c r="AH79" s="767" t="s">
        <v>426</v>
      </c>
      <c r="AI79" s="768" t="s">
        <v>446</v>
      </c>
      <c r="AJ79" s="767" t="s">
        <v>447</v>
      </c>
      <c r="AK79" s="768" t="s">
        <v>425</v>
      </c>
      <c r="AL79" s="768" t="s">
        <v>425</v>
      </c>
      <c r="AM79" s="768"/>
      <c r="AN79" s="768" t="s">
        <v>427</v>
      </c>
      <c r="AO79" s="768" t="s">
        <v>427</v>
      </c>
      <c r="AP79" s="768" t="s">
        <v>427</v>
      </c>
      <c r="AQ79" s="768" t="s">
        <v>427</v>
      </c>
      <c r="AR79" s="769"/>
      <c r="AS79" s="770" t="s">
        <v>425</v>
      </c>
      <c r="AT79" s="768" t="s">
        <v>425</v>
      </c>
      <c r="AU79" s="771" t="s">
        <v>427</v>
      </c>
      <c r="AV79" s="771" t="s">
        <v>427</v>
      </c>
      <c r="AW79" s="722"/>
      <c r="AX79" s="772"/>
      <c r="AY79" s="773"/>
      <c r="AZ79" s="772"/>
      <c r="BA79" s="763"/>
      <c r="BB79" s="763"/>
      <c r="BC79" s="763"/>
      <c r="BD79" s="763"/>
      <c r="BE79" s="763"/>
      <c r="BF79" s="763"/>
      <c r="BG79" s="763"/>
      <c r="BH79" s="763"/>
      <c r="BI79" s="763"/>
      <c r="BJ79" s="763"/>
      <c r="BK79" s="763"/>
      <c r="BL79" s="763"/>
      <c r="BM79" s="763"/>
      <c r="BN79" s="763"/>
      <c r="BO79" s="763"/>
      <c r="BP79" s="763"/>
      <c r="BQ79" s="763"/>
      <c r="BR79" s="763"/>
      <c r="BS79" s="763"/>
      <c r="BT79" s="763"/>
    </row>
    <row r="80" spans="1:72" ht="15" customHeight="1" x14ac:dyDescent="0.25">
      <c r="A80" s="1076"/>
      <c r="B80" s="1077"/>
      <c r="C80" s="719"/>
      <c r="D80" s="774"/>
      <c r="E80" s="775"/>
      <c r="F80" s="775"/>
      <c r="G80" s="775"/>
      <c r="H80" s="729"/>
      <c r="I80" s="776"/>
      <c r="J80" s="777"/>
      <c r="K80" s="729"/>
      <c r="L80" s="729"/>
      <c r="M80" s="729"/>
      <c r="N80" s="731"/>
      <c r="O80" s="731"/>
      <c r="P80" s="778"/>
      <c r="Q80" s="778"/>
      <c r="R80" s="718"/>
      <c r="S80" s="733"/>
      <c r="T80" s="733"/>
      <c r="U80" s="733"/>
      <c r="V80" s="779"/>
      <c r="W80" s="779"/>
      <c r="X80" s="779"/>
      <c r="Y80" s="780"/>
      <c r="Z80" s="780"/>
      <c r="AA80" s="631">
        <v>1</v>
      </c>
      <c r="AB80" s="623" t="s">
        <v>428</v>
      </c>
      <c r="AC80" s="630">
        <v>3</v>
      </c>
      <c r="AD80" s="621">
        <v>3.2</v>
      </c>
      <c r="AE80" s="781">
        <v>3</v>
      </c>
      <c r="AF80" s="621">
        <v>3.3</v>
      </c>
      <c r="AG80" s="621">
        <v>2</v>
      </c>
      <c r="AH80" s="782" t="s">
        <v>448</v>
      </c>
      <c r="AI80" s="782">
        <v>1.2</v>
      </c>
      <c r="AJ80" s="782">
        <v>26.7</v>
      </c>
      <c r="AK80" s="782">
        <v>1.5</v>
      </c>
      <c r="AL80" s="782">
        <v>3</v>
      </c>
      <c r="AM80" s="782" t="s">
        <v>449</v>
      </c>
      <c r="AN80" s="783">
        <f>$AN$77*$AQ$80+AU80</f>
        <v>30861.599999999999</v>
      </c>
      <c r="AO80" s="783">
        <f>$AO$77*$AQ$80</f>
        <v>5143.6000000000004</v>
      </c>
      <c r="AP80" s="783">
        <f>$AP$77*$AQ$80</f>
        <v>15430.8</v>
      </c>
      <c r="AQ80" s="617">
        <v>51436</v>
      </c>
      <c r="AR80" s="1087" t="s">
        <v>602</v>
      </c>
      <c r="AS80" s="782" t="s">
        <v>450</v>
      </c>
      <c r="AT80" s="621">
        <f>AG80+0.75</f>
        <v>2.75</v>
      </c>
      <c r="AU80" s="784">
        <v>0</v>
      </c>
      <c r="AV80" s="785">
        <f>AN80+AO80+AP80</f>
        <v>51436</v>
      </c>
      <c r="AW80" s="786"/>
      <c r="AX80" s="787"/>
      <c r="AY80" s="788"/>
      <c r="AZ80" s="787"/>
      <c r="BA80" s="763"/>
      <c r="BB80" s="763"/>
      <c r="BC80" s="763"/>
      <c r="BD80" s="763"/>
      <c r="BE80" s="763"/>
      <c r="BF80" s="763"/>
      <c r="BG80" s="763"/>
      <c r="BH80" s="763"/>
      <c r="BI80" s="763"/>
      <c r="BJ80" s="763"/>
      <c r="BK80" s="763"/>
      <c r="BL80" s="763"/>
      <c r="BM80" s="763"/>
      <c r="BN80" s="763"/>
      <c r="BO80" s="763"/>
      <c r="BP80" s="763"/>
      <c r="BQ80" s="763"/>
      <c r="BR80" s="763"/>
      <c r="BS80" s="763"/>
      <c r="BT80" s="763"/>
    </row>
    <row r="81" spans="1:72" ht="15" customHeight="1" x14ac:dyDescent="0.25">
      <c r="A81" s="1076"/>
      <c r="B81" s="1077"/>
      <c r="C81" s="719"/>
      <c r="D81" s="774"/>
      <c r="E81" s="775"/>
      <c r="F81" s="775"/>
      <c r="G81" s="775"/>
      <c r="H81" s="729"/>
      <c r="I81" s="776"/>
      <c r="J81" s="777"/>
      <c r="K81" s="729"/>
      <c r="L81" s="729"/>
      <c r="M81" s="729"/>
      <c r="N81" s="731"/>
      <c r="O81" s="731"/>
      <c r="P81" s="778"/>
      <c r="Q81" s="778"/>
      <c r="R81" s="718"/>
      <c r="S81" s="733"/>
      <c r="T81" s="733"/>
      <c r="U81" s="733"/>
      <c r="V81" s="779"/>
      <c r="W81" s="779"/>
      <c r="X81" s="779"/>
      <c r="Y81" s="780"/>
      <c r="Z81" s="780"/>
      <c r="AA81" s="789">
        <v>2</v>
      </c>
      <c r="AB81" s="624" t="s">
        <v>429</v>
      </c>
      <c r="AC81" s="790">
        <v>3</v>
      </c>
      <c r="AD81" s="622"/>
      <c r="AE81" s="791">
        <v>3</v>
      </c>
      <c r="AF81" s="622"/>
      <c r="AG81" s="622">
        <v>2.5</v>
      </c>
      <c r="AH81" s="626" t="s">
        <v>448</v>
      </c>
      <c r="AI81" s="626">
        <v>1.2</v>
      </c>
      <c r="AJ81" s="626"/>
      <c r="AK81" s="626"/>
      <c r="AL81" s="626"/>
      <c r="AM81" s="626"/>
      <c r="AN81" s="792">
        <f>$AN$77*$AQ$81+AU81</f>
        <v>30861.599999999999</v>
      </c>
      <c r="AO81" s="792">
        <f>$AO$77*$AQ$81</f>
        <v>5143.6000000000004</v>
      </c>
      <c r="AP81" s="792">
        <f>$AP$77*$AQ$81</f>
        <v>15430.8</v>
      </c>
      <c r="AQ81" s="793">
        <v>51436</v>
      </c>
      <c r="AR81" s="1088"/>
      <c r="AS81" s="626"/>
      <c r="AT81" s="622"/>
      <c r="AU81" s="794">
        <v>0</v>
      </c>
      <c r="AV81" s="795">
        <f t="shared" ref="AV81:AV144" si="0">AN81+AO81+AP81</f>
        <v>51436</v>
      </c>
      <c r="AW81" s="786"/>
      <c r="AX81" s="787"/>
      <c r="AY81" s="788"/>
      <c r="AZ81" s="787"/>
      <c r="BA81" s="763"/>
      <c r="BB81" s="763"/>
      <c r="BC81" s="763"/>
      <c r="BD81" s="763"/>
      <c r="BE81" s="763"/>
      <c r="BF81" s="763"/>
      <c r="BG81" s="763"/>
      <c r="BH81" s="763"/>
      <c r="BI81" s="763"/>
      <c r="BJ81" s="763"/>
      <c r="BK81" s="763"/>
      <c r="BL81" s="763"/>
      <c r="BM81" s="763"/>
      <c r="BN81" s="763"/>
      <c r="BO81" s="763"/>
      <c r="BP81" s="763"/>
      <c r="BQ81" s="763"/>
      <c r="BR81" s="763"/>
      <c r="BS81" s="763"/>
      <c r="BT81" s="763"/>
    </row>
    <row r="82" spans="1:72" ht="15" customHeight="1" x14ac:dyDescent="0.25">
      <c r="A82" s="1076"/>
      <c r="B82" s="1077"/>
      <c r="C82" s="719"/>
      <c r="D82" s="774"/>
      <c r="E82" s="775"/>
      <c r="F82" s="775"/>
      <c r="G82" s="775"/>
      <c r="H82" s="729"/>
      <c r="I82" s="776"/>
      <c r="J82" s="777"/>
      <c r="K82" s="729"/>
      <c r="L82" s="729"/>
      <c r="M82" s="729"/>
      <c r="N82" s="731"/>
      <c r="O82" s="731"/>
      <c r="P82" s="778"/>
      <c r="Q82" s="778"/>
      <c r="R82" s="718"/>
      <c r="S82" s="733"/>
      <c r="T82" s="733"/>
      <c r="U82" s="733"/>
      <c r="V82" s="779"/>
      <c r="W82" s="779"/>
      <c r="X82" s="779"/>
      <c r="Y82" s="780"/>
      <c r="Z82" s="780"/>
      <c r="AA82" s="789">
        <v>3</v>
      </c>
      <c r="AB82" s="624" t="s">
        <v>451</v>
      </c>
      <c r="AC82" s="790">
        <v>3</v>
      </c>
      <c r="AD82" s="622">
        <v>3.2</v>
      </c>
      <c r="AE82" s="791">
        <v>3</v>
      </c>
      <c r="AF82" s="622">
        <v>3.3</v>
      </c>
      <c r="AG82" s="622">
        <v>3</v>
      </c>
      <c r="AH82" s="626" t="s">
        <v>448</v>
      </c>
      <c r="AI82" s="626">
        <v>1.2</v>
      </c>
      <c r="AJ82" s="626">
        <v>26.7</v>
      </c>
      <c r="AK82" s="626">
        <v>1.5</v>
      </c>
      <c r="AL82" s="626">
        <v>4</v>
      </c>
      <c r="AM82" s="626" t="s">
        <v>449</v>
      </c>
      <c r="AN82" s="792">
        <f>$AN$77*$AQ$82+AU82</f>
        <v>30861.599999999999</v>
      </c>
      <c r="AO82" s="792">
        <f>$AO$77*$AQ$82</f>
        <v>5143.6000000000004</v>
      </c>
      <c r="AP82" s="792">
        <f>$AP$77*$AQ$82</f>
        <v>15430.8</v>
      </c>
      <c r="AQ82" s="793">
        <v>51436</v>
      </c>
      <c r="AR82" s="1088"/>
      <c r="AS82" s="626" t="s">
        <v>450</v>
      </c>
      <c r="AT82" s="622">
        <f t="shared" ref="AT82:AT83" si="1">AG82+0.75</f>
        <v>3.75</v>
      </c>
      <c r="AU82" s="794">
        <v>0</v>
      </c>
      <c r="AV82" s="795">
        <f t="shared" si="0"/>
        <v>51436</v>
      </c>
      <c r="AW82" s="786"/>
      <c r="AX82" s="787"/>
      <c r="AY82" s="788"/>
      <c r="AZ82" s="787"/>
      <c r="BA82" s="763"/>
      <c r="BB82" s="763"/>
      <c r="BC82" s="763"/>
      <c r="BD82" s="763"/>
      <c r="BE82" s="763"/>
      <c r="BF82" s="763"/>
      <c r="BG82" s="763"/>
      <c r="BH82" s="763"/>
      <c r="BI82" s="763"/>
      <c r="BJ82" s="763"/>
      <c r="BK82" s="763"/>
      <c r="BL82" s="763"/>
      <c r="BM82" s="763"/>
      <c r="BN82" s="763"/>
      <c r="BO82" s="763"/>
      <c r="BP82" s="763"/>
      <c r="BQ82" s="763"/>
      <c r="BR82" s="763"/>
      <c r="BS82" s="763"/>
      <c r="BT82" s="763"/>
    </row>
    <row r="83" spans="1:72" ht="15" customHeight="1" x14ac:dyDescent="0.25">
      <c r="A83" s="1076"/>
      <c r="B83" s="1077"/>
      <c r="C83" s="719"/>
      <c r="D83" s="774"/>
      <c r="E83" s="775"/>
      <c r="F83" s="775"/>
      <c r="G83" s="775"/>
      <c r="H83" s="729"/>
      <c r="I83" s="776"/>
      <c r="J83" s="777"/>
      <c r="K83" s="729"/>
      <c r="L83" s="729"/>
      <c r="M83" s="729"/>
      <c r="N83" s="731"/>
      <c r="O83" s="731"/>
      <c r="P83" s="778"/>
      <c r="Q83" s="778"/>
      <c r="R83" s="718"/>
      <c r="S83" s="733"/>
      <c r="T83" s="733"/>
      <c r="U83" s="733"/>
      <c r="V83" s="779"/>
      <c r="W83" s="779"/>
      <c r="X83" s="779"/>
      <c r="Y83" s="780"/>
      <c r="Z83" s="780"/>
      <c r="AA83" s="789">
        <v>4</v>
      </c>
      <c r="AB83" s="624" t="s">
        <v>452</v>
      </c>
      <c r="AC83" s="790">
        <v>3</v>
      </c>
      <c r="AD83" s="622">
        <v>3.2</v>
      </c>
      <c r="AE83" s="791">
        <v>4</v>
      </c>
      <c r="AF83" s="622">
        <v>4.5999999999999996</v>
      </c>
      <c r="AG83" s="622">
        <v>2.5</v>
      </c>
      <c r="AH83" s="626" t="s">
        <v>448</v>
      </c>
      <c r="AI83" s="626">
        <v>1.25</v>
      </c>
      <c r="AJ83" s="626">
        <v>32.200000000000003</v>
      </c>
      <c r="AK83" s="626">
        <v>1.5</v>
      </c>
      <c r="AL83" s="626">
        <v>3.5</v>
      </c>
      <c r="AM83" s="626" t="s">
        <v>453</v>
      </c>
      <c r="AN83" s="792">
        <f>$AN$77*$AQ$83+AU83</f>
        <v>30861.599999999999</v>
      </c>
      <c r="AO83" s="792">
        <f>$AO$77*$AQ$83</f>
        <v>5143.6000000000004</v>
      </c>
      <c r="AP83" s="792">
        <f>$AP$77*$AQ$83</f>
        <v>15430.8</v>
      </c>
      <c r="AQ83" s="793">
        <v>51436</v>
      </c>
      <c r="AR83" s="1088"/>
      <c r="AS83" s="626" t="s">
        <v>450</v>
      </c>
      <c r="AT83" s="622">
        <f t="shared" si="1"/>
        <v>3.25</v>
      </c>
      <c r="AU83" s="794">
        <v>0</v>
      </c>
      <c r="AV83" s="795">
        <f t="shared" si="0"/>
        <v>51436</v>
      </c>
      <c r="AW83" s="786"/>
      <c r="AX83" s="787"/>
      <c r="AY83" s="788"/>
      <c r="AZ83" s="787"/>
      <c r="BA83" s="763"/>
      <c r="BB83" s="763"/>
      <c r="BC83" s="763"/>
      <c r="BD83" s="763"/>
      <c r="BE83" s="763"/>
      <c r="BF83" s="763"/>
      <c r="BG83" s="763"/>
      <c r="BH83" s="763"/>
      <c r="BI83" s="763"/>
      <c r="BJ83" s="763"/>
      <c r="BK83" s="763"/>
      <c r="BL83" s="763"/>
      <c r="BM83" s="763"/>
      <c r="BN83" s="763"/>
      <c r="BO83" s="763"/>
      <c r="BP83" s="763"/>
      <c r="BQ83" s="763"/>
      <c r="BR83" s="763"/>
      <c r="BS83" s="763"/>
      <c r="BT83" s="763"/>
    </row>
    <row r="84" spans="1:72" ht="15" customHeight="1" x14ac:dyDescent="0.25">
      <c r="A84" s="1076"/>
      <c r="B84" s="1077"/>
      <c r="C84" s="719"/>
      <c r="D84" s="774"/>
      <c r="E84" s="775"/>
      <c r="F84" s="775"/>
      <c r="G84" s="775"/>
      <c r="H84" s="729"/>
      <c r="I84" s="776"/>
      <c r="J84" s="777"/>
      <c r="K84" s="729"/>
      <c r="L84" s="729"/>
      <c r="M84" s="729"/>
      <c r="N84" s="731"/>
      <c r="O84" s="731"/>
      <c r="P84" s="778"/>
      <c r="Q84" s="778"/>
      <c r="R84" s="718"/>
      <c r="S84" s="733"/>
      <c r="T84" s="733"/>
      <c r="U84" s="733"/>
      <c r="V84" s="779"/>
      <c r="W84" s="779"/>
      <c r="X84" s="779"/>
      <c r="Y84" s="780"/>
      <c r="Z84" s="780"/>
      <c r="AA84" s="789">
        <v>5</v>
      </c>
      <c r="AB84" s="624" t="s">
        <v>454</v>
      </c>
      <c r="AC84" s="790">
        <v>3</v>
      </c>
      <c r="AD84" s="622"/>
      <c r="AE84" s="791">
        <v>5</v>
      </c>
      <c r="AF84" s="622"/>
      <c r="AG84" s="622">
        <v>2.5</v>
      </c>
      <c r="AH84" s="626" t="s">
        <v>448</v>
      </c>
      <c r="AI84" s="626">
        <v>1.2</v>
      </c>
      <c r="AJ84" s="626"/>
      <c r="AK84" s="626"/>
      <c r="AL84" s="626"/>
      <c r="AM84" s="626"/>
      <c r="AN84" s="792">
        <f>$AN$77*$AQ$84+AU84</f>
        <v>30861.599999999999</v>
      </c>
      <c r="AO84" s="792">
        <f>$AO$77*$AQ$84</f>
        <v>5143.6000000000004</v>
      </c>
      <c r="AP84" s="792">
        <f>$AP$77*$AQ$84</f>
        <v>15430.8</v>
      </c>
      <c r="AQ84" s="793">
        <v>51436</v>
      </c>
      <c r="AR84" s="1088"/>
      <c r="AS84" s="626"/>
      <c r="AT84" s="622"/>
      <c r="AU84" s="794">
        <v>0</v>
      </c>
      <c r="AV84" s="795">
        <f t="shared" si="0"/>
        <v>51436</v>
      </c>
      <c r="AW84" s="786"/>
      <c r="AX84" s="787"/>
      <c r="AY84" s="788"/>
      <c r="AZ84" s="787"/>
      <c r="BA84" s="763"/>
      <c r="BB84" s="763"/>
      <c r="BC84" s="763"/>
      <c r="BD84" s="763"/>
      <c r="BE84" s="763"/>
      <c r="BF84" s="763"/>
      <c r="BG84" s="763"/>
      <c r="BH84" s="763"/>
      <c r="BI84" s="763"/>
      <c r="BJ84" s="763"/>
      <c r="BK84" s="763"/>
      <c r="BL84" s="763"/>
      <c r="BM84" s="763"/>
      <c r="BN84" s="763"/>
      <c r="BO84" s="763"/>
      <c r="BP84" s="763"/>
      <c r="BQ84" s="763"/>
      <c r="BR84" s="763"/>
      <c r="BS84" s="763"/>
      <c r="BT84" s="763"/>
    </row>
    <row r="85" spans="1:72" ht="15" customHeight="1" x14ac:dyDescent="0.25">
      <c r="A85" s="1076"/>
      <c r="B85" s="1077"/>
      <c r="C85" s="719"/>
      <c r="D85" s="774"/>
      <c r="E85" s="775"/>
      <c r="F85" s="775"/>
      <c r="G85" s="775"/>
      <c r="H85" s="729"/>
      <c r="I85" s="776"/>
      <c r="J85" s="777"/>
      <c r="K85" s="729"/>
      <c r="L85" s="729"/>
      <c r="M85" s="729"/>
      <c r="N85" s="731"/>
      <c r="O85" s="731"/>
      <c r="P85" s="778"/>
      <c r="Q85" s="778"/>
      <c r="R85" s="718"/>
      <c r="S85" s="733"/>
      <c r="T85" s="733"/>
      <c r="U85" s="733"/>
      <c r="V85" s="779"/>
      <c r="W85" s="779"/>
      <c r="X85" s="779"/>
      <c r="Y85" s="780"/>
      <c r="Z85" s="780"/>
      <c r="AA85" s="789">
        <v>6</v>
      </c>
      <c r="AB85" s="624" t="s">
        <v>455</v>
      </c>
      <c r="AC85" s="790">
        <v>3</v>
      </c>
      <c r="AD85" s="622">
        <v>3.4</v>
      </c>
      <c r="AE85" s="791">
        <v>5</v>
      </c>
      <c r="AF85" s="622">
        <v>6.3</v>
      </c>
      <c r="AG85" s="622">
        <v>3</v>
      </c>
      <c r="AH85" s="626" t="s">
        <v>448</v>
      </c>
      <c r="AI85" s="626">
        <v>1.2</v>
      </c>
      <c r="AJ85" s="626">
        <v>34.6</v>
      </c>
      <c r="AK85" s="626">
        <v>1.5</v>
      </c>
      <c r="AL85" s="626">
        <v>4</v>
      </c>
      <c r="AM85" s="626" t="s">
        <v>456</v>
      </c>
      <c r="AN85" s="792">
        <f>$AN$77*$AQ$85+AU85</f>
        <v>30861.599999999999</v>
      </c>
      <c r="AO85" s="792">
        <f>$AO$77*$AQ$85</f>
        <v>5143.6000000000004</v>
      </c>
      <c r="AP85" s="792">
        <f>$AP$77*$AQ$85</f>
        <v>15430.8</v>
      </c>
      <c r="AQ85" s="793">
        <v>51436</v>
      </c>
      <c r="AR85" s="1088"/>
      <c r="AS85" s="626" t="s">
        <v>450</v>
      </c>
      <c r="AT85" s="622">
        <f t="shared" ref="AT85:AT86" si="2">AG85+0.75</f>
        <v>3.75</v>
      </c>
      <c r="AU85" s="794">
        <v>0</v>
      </c>
      <c r="AV85" s="795">
        <f t="shared" si="0"/>
        <v>51436</v>
      </c>
      <c r="AW85" s="786"/>
      <c r="AX85" s="787"/>
      <c r="AY85" s="788"/>
      <c r="AZ85" s="787"/>
      <c r="BA85" s="763"/>
      <c r="BB85" s="763"/>
      <c r="BC85" s="763"/>
      <c r="BD85" s="763"/>
      <c r="BE85" s="763"/>
      <c r="BF85" s="763"/>
      <c r="BG85" s="763"/>
      <c r="BH85" s="763"/>
      <c r="BI85" s="763"/>
      <c r="BJ85" s="763"/>
      <c r="BK85" s="763"/>
      <c r="BL85" s="763"/>
      <c r="BM85" s="763"/>
      <c r="BN85" s="763"/>
      <c r="BO85" s="763"/>
      <c r="BP85" s="763"/>
      <c r="BQ85" s="763"/>
      <c r="BR85" s="763"/>
      <c r="BS85" s="763"/>
      <c r="BT85" s="763"/>
    </row>
    <row r="86" spans="1:72" ht="15" customHeight="1" x14ac:dyDescent="0.25">
      <c r="A86" s="1076"/>
      <c r="B86" s="1077"/>
      <c r="C86" s="719"/>
      <c r="D86" s="774"/>
      <c r="E86" s="775"/>
      <c r="F86" s="775"/>
      <c r="G86" s="775"/>
      <c r="H86" s="729"/>
      <c r="I86" s="776"/>
      <c r="J86" s="777"/>
      <c r="K86" s="729"/>
      <c r="L86" s="729"/>
      <c r="M86" s="729"/>
      <c r="N86" s="731"/>
      <c r="O86" s="731"/>
      <c r="P86" s="778"/>
      <c r="Q86" s="778"/>
      <c r="R86" s="718"/>
      <c r="S86" s="733"/>
      <c r="T86" s="733"/>
      <c r="U86" s="733"/>
      <c r="V86" s="779"/>
      <c r="W86" s="779"/>
      <c r="X86" s="779"/>
      <c r="Y86" s="780"/>
      <c r="Z86" s="780"/>
      <c r="AA86" s="789">
        <v>7</v>
      </c>
      <c r="AB86" s="624" t="s">
        <v>457</v>
      </c>
      <c r="AC86" s="790">
        <v>3</v>
      </c>
      <c r="AD86" s="622">
        <v>3.4</v>
      </c>
      <c r="AE86" s="791">
        <v>5</v>
      </c>
      <c r="AF86" s="622">
        <v>6.3</v>
      </c>
      <c r="AG86" s="622">
        <v>3.5</v>
      </c>
      <c r="AH86" s="626" t="s">
        <v>448</v>
      </c>
      <c r="AI86" s="626">
        <v>1.2</v>
      </c>
      <c r="AJ86" s="626">
        <v>34.6</v>
      </c>
      <c r="AK86" s="626">
        <v>1.5</v>
      </c>
      <c r="AL86" s="626">
        <v>4</v>
      </c>
      <c r="AM86" s="626" t="s">
        <v>456</v>
      </c>
      <c r="AN86" s="792">
        <f>$AN$77*$AQ$86+AU86</f>
        <v>30861.599999999999</v>
      </c>
      <c r="AO86" s="792">
        <f>$AO$77*$AQ$86</f>
        <v>5143.6000000000004</v>
      </c>
      <c r="AP86" s="792">
        <f>$AP$77*$AQ$86</f>
        <v>15430.8</v>
      </c>
      <c r="AQ86" s="793">
        <v>51436</v>
      </c>
      <c r="AR86" s="1088"/>
      <c r="AS86" s="626" t="s">
        <v>450</v>
      </c>
      <c r="AT86" s="622">
        <f t="shared" si="2"/>
        <v>4.25</v>
      </c>
      <c r="AU86" s="794">
        <v>0</v>
      </c>
      <c r="AV86" s="795">
        <f t="shared" si="0"/>
        <v>51436</v>
      </c>
      <c r="AW86" s="786"/>
      <c r="AX86" s="787"/>
      <c r="AY86" s="788"/>
      <c r="AZ86" s="787"/>
      <c r="BA86" s="763"/>
      <c r="BB86" s="763"/>
      <c r="BC86" s="763"/>
      <c r="BD86" s="763"/>
      <c r="BE86" s="763"/>
      <c r="BF86" s="763"/>
      <c r="BG86" s="763"/>
      <c r="BH86" s="763"/>
      <c r="BI86" s="763"/>
      <c r="BJ86" s="763"/>
      <c r="BK86" s="763"/>
      <c r="BL86" s="763"/>
      <c r="BM86" s="763"/>
      <c r="BN86" s="763"/>
      <c r="BO86" s="763"/>
      <c r="BP86" s="763"/>
      <c r="BQ86" s="763"/>
      <c r="BR86" s="763"/>
      <c r="BS86" s="763"/>
      <c r="BT86" s="763"/>
    </row>
    <row r="87" spans="1:72" ht="15" customHeight="1" x14ac:dyDescent="0.25">
      <c r="A87" s="1076"/>
      <c r="B87" s="1077"/>
      <c r="C87" s="719"/>
      <c r="D87" s="774"/>
      <c r="E87" s="775"/>
      <c r="F87" s="775"/>
      <c r="G87" s="775"/>
      <c r="H87" s="729"/>
      <c r="I87" s="776"/>
      <c r="J87" s="777"/>
      <c r="K87" s="729"/>
      <c r="L87" s="729"/>
      <c r="M87" s="729"/>
      <c r="N87" s="731"/>
      <c r="O87" s="731"/>
      <c r="P87" s="778"/>
      <c r="Q87" s="778"/>
      <c r="R87" s="718"/>
      <c r="S87" s="733"/>
      <c r="T87" s="733"/>
      <c r="U87" s="733"/>
      <c r="V87" s="779"/>
      <c r="W87" s="779"/>
      <c r="X87" s="779"/>
      <c r="Y87" s="780"/>
      <c r="Z87" s="780"/>
      <c r="AA87" s="789">
        <v>8</v>
      </c>
      <c r="AB87" s="624" t="s">
        <v>458</v>
      </c>
      <c r="AC87" s="790">
        <v>3</v>
      </c>
      <c r="AD87" s="622"/>
      <c r="AE87" s="791">
        <v>6</v>
      </c>
      <c r="AF87" s="622"/>
      <c r="AG87" s="622">
        <v>2.5</v>
      </c>
      <c r="AH87" s="626" t="s">
        <v>448</v>
      </c>
      <c r="AI87" s="626">
        <v>1.2</v>
      </c>
      <c r="AJ87" s="626"/>
      <c r="AK87" s="626"/>
      <c r="AL87" s="626"/>
      <c r="AM87" s="626"/>
      <c r="AN87" s="792">
        <f>$AN$77*$AQ$87+AU87</f>
        <v>30861.599999999999</v>
      </c>
      <c r="AO87" s="792">
        <f>$AO$77*$AQ$87</f>
        <v>5143.6000000000004</v>
      </c>
      <c r="AP87" s="792">
        <f>$AP$77*$AQ$87</f>
        <v>15430.8</v>
      </c>
      <c r="AQ87" s="793">
        <v>51436</v>
      </c>
      <c r="AR87" s="1088"/>
      <c r="AS87" s="626"/>
      <c r="AT87" s="622"/>
      <c r="AU87" s="794">
        <v>0</v>
      </c>
      <c r="AV87" s="795">
        <f t="shared" si="0"/>
        <v>51436</v>
      </c>
      <c r="AW87" s="786"/>
      <c r="AX87" s="787"/>
      <c r="AY87" s="788"/>
      <c r="AZ87" s="787"/>
      <c r="BA87" s="763"/>
      <c r="BB87" s="763"/>
      <c r="BC87" s="763"/>
      <c r="BD87" s="763"/>
      <c r="BE87" s="763"/>
      <c r="BF87" s="763"/>
      <c r="BG87" s="763"/>
      <c r="BH87" s="763"/>
      <c r="BI87" s="763"/>
      <c r="BJ87" s="763"/>
      <c r="BK87" s="763"/>
      <c r="BL87" s="763"/>
      <c r="BM87" s="763"/>
      <c r="BN87" s="763"/>
      <c r="BO87" s="763"/>
      <c r="BP87" s="763"/>
      <c r="BQ87" s="763"/>
      <c r="BR87" s="763"/>
      <c r="BS87" s="763"/>
      <c r="BT87" s="763"/>
    </row>
    <row r="88" spans="1:72" ht="15" customHeight="1" x14ac:dyDescent="0.25">
      <c r="A88" s="1076"/>
      <c r="B88" s="1077"/>
      <c r="C88" s="719"/>
      <c r="D88" s="774"/>
      <c r="E88" s="775"/>
      <c r="F88" s="775"/>
      <c r="G88" s="775"/>
      <c r="H88" s="729"/>
      <c r="I88" s="776"/>
      <c r="J88" s="777"/>
      <c r="K88" s="729"/>
      <c r="L88" s="729"/>
      <c r="M88" s="729"/>
      <c r="N88" s="731"/>
      <c r="O88" s="731"/>
      <c r="P88" s="778"/>
      <c r="Q88" s="778"/>
      <c r="R88" s="718"/>
      <c r="S88" s="733"/>
      <c r="T88" s="733"/>
      <c r="U88" s="733"/>
      <c r="V88" s="779"/>
      <c r="W88" s="779"/>
      <c r="X88" s="779"/>
      <c r="Y88" s="780"/>
      <c r="Z88" s="780"/>
      <c r="AA88" s="789">
        <v>9</v>
      </c>
      <c r="AB88" s="624" t="s">
        <v>459</v>
      </c>
      <c r="AC88" s="790">
        <v>3</v>
      </c>
      <c r="AD88" s="622">
        <v>3.3</v>
      </c>
      <c r="AE88" s="791">
        <v>6</v>
      </c>
      <c r="AF88" s="622">
        <v>7.3</v>
      </c>
      <c r="AG88" s="622">
        <v>3</v>
      </c>
      <c r="AH88" s="626" t="s">
        <v>448</v>
      </c>
      <c r="AI88" s="626">
        <v>1.2</v>
      </c>
      <c r="AJ88" s="626">
        <v>41</v>
      </c>
      <c r="AK88" s="626">
        <v>1.5</v>
      </c>
      <c r="AL88" s="626">
        <v>4</v>
      </c>
      <c r="AM88" s="626" t="s">
        <v>460</v>
      </c>
      <c r="AN88" s="792">
        <f>$AN$77*$AQ$88+AU88</f>
        <v>30861.599999999999</v>
      </c>
      <c r="AO88" s="792">
        <f>$AO$77*$AQ$88</f>
        <v>5143.6000000000004</v>
      </c>
      <c r="AP88" s="792">
        <f>$AP$77*$AQ$88</f>
        <v>15430.8</v>
      </c>
      <c r="AQ88" s="793">
        <v>51436</v>
      </c>
      <c r="AR88" s="1088"/>
      <c r="AS88" s="626" t="s">
        <v>450</v>
      </c>
      <c r="AT88" s="622">
        <f t="shared" ref="AT88" si="3">AG88+0.75</f>
        <v>3.75</v>
      </c>
      <c r="AU88" s="794">
        <v>0</v>
      </c>
      <c r="AV88" s="795">
        <f t="shared" si="0"/>
        <v>51436</v>
      </c>
      <c r="AW88" s="786"/>
      <c r="AX88" s="787"/>
      <c r="AY88" s="788"/>
      <c r="AZ88" s="787"/>
      <c r="BA88" s="763"/>
      <c r="BB88" s="763"/>
      <c r="BC88" s="763"/>
      <c r="BD88" s="763"/>
      <c r="BE88" s="763"/>
      <c r="BF88" s="763"/>
      <c r="BG88" s="763"/>
      <c r="BH88" s="763"/>
      <c r="BI88" s="763"/>
      <c r="BJ88" s="763"/>
      <c r="BK88" s="763"/>
      <c r="BL88" s="763"/>
      <c r="BM88" s="763"/>
      <c r="BN88" s="763"/>
      <c r="BO88" s="763"/>
      <c r="BP88" s="763"/>
      <c r="BQ88" s="763"/>
      <c r="BR88" s="763"/>
      <c r="BS88" s="763"/>
      <c r="BT88" s="763"/>
    </row>
    <row r="89" spans="1:72" ht="15" customHeight="1" x14ac:dyDescent="0.25">
      <c r="A89" s="1076"/>
      <c r="B89" s="1077"/>
      <c r="C89" s="719"/>
      <c r="D89" s="774"/>
      <c r="E89" s="775"/>
      <c r="F89" s="775"/>
      <c r="G89" s="775"/>
      <c r="H89" s="729"/>
      <c r="I89" s="776"/>
      <c r="J89" s="777"/>
      <c r="K89" s="729"/>
      <c r="L89" s="729"/>
      <c r="M89" s="729"/>
      <c r="N89" s="731"/>
      <c r="O89" s="731"/>
      <c r="P89" s="778"/>
      <c r="Q89" s="778"/>
      <c r="R89" s="718"/>
      <c r="S89" s="733"/>
      <c r="T89" s="733"/>
      <c r="U89" s="733"/>
      <c r="V89" s="779"/>
      <c r="W89" s="779"/>
      <c r="X89" s="779"/>
      <c r="Y89" s="780"/>
      <c r="Z89" s="780"/>
      <c r="AA89" s="789">
        <v>10</v>
      </c>
      <c r="AB89" s="624" t="s">
        <v>461</v>
      </c>
      <c r="AC89" s="790">
        <v>3</v>
      </c>
      <c r="AD89" s="622"/>
      <c r="AE89" s="791">
        <v>7</v>
      </c>
      <c r="AF89" s="622"/>
      <c r="AG89" s="622">
        <v>2.5</v>
      </c>
      <c r="AH89" s="626" t="s">
        <v>448</v>
      </c>
      <c r="AI89" s="626">
        <v>1.2</v>
      </c>
      <c r="AJ89" s="626"/>
      <c r="AK89" s="626"/>
      <c r="AL89" s="626"/>
      <c r="AM89" s="626"/>
      <c r="AN89" s="792">
        <f>$AN$77*$AQ$89+AU89</f>
        <v>30861.599999999999</v>
      </c>
      <c r="AO89" s="792">
        <f>$AO$77*$AQ$89</f>
        <v>5143.6000000000004</v>
      </c>
      <c r="AP89" s="792">
        <f>$AP$77*$AQ$89</f>
        <v>15430.8</v>
      </c>
      <c r="AQ89" s="793">
        <v>51436</v>
      </c>
      <c r="AR89" s="1088"/>
      <c r="AS89" s="626"/>
      <c r="AT89" s="622"/>
      <c r="AU89" s="794">
        <v>0</v>
      </c>
      <c r="AV89" s="795">
        <f t="shared" si="0"/>
        <v>51436</v>
      </c>
      <c r="AW89" s="786"/>
      <c r="AX89" s="787"/>
      <c r="AY89" s="788"/>
      <c r="AZ89" s="787"/>
      <c r="BA89" s="763"/>
      <c r="BB89" s="763"/>
      <c r="BC89" s="763"/>
      <c r="BD89" s="763"/>
      <c r="BE89" s="763"/>
      <c r="BF89" s="763"/>
      <c r="BG89" s="763"/>
      <c r="BH89" s="763"/>
      <c r="BI89" s="763"/>
      <c r="BJ89" s="763"/>
      <c r="BK89" s="763"/>
      <c r="BL89" s="763"/>
      <c r="BM89" s="763"/>
      <c r="BN89" s="763"/>
      <c r="BO89" s="763"/>
      <c r="BP89" s="763"/>
      <c r="BQ89" s="763"/>
      <c r="BR89" s="763"/>
      <c r="BS89" s="763"/>
      <c r="BT89" s="763"/>
    </row>
    <row r="90" spans="1:72" ht="15" customHeight="1" x14ac:dyDescent="0.25">
      <c r="A90" s="1076"/>
      <c r="B90" s="1077"/>
      <c r="C90" s="719"/>
      <c r="D90" s="774"/>
      <c r="E90" s="775"/>
      <c r="F90" s="775"/>
      <c r="G90" s="775"/>
      <c r="H90" s="729"/>
      <c r="I90" s="776"/>
      <c r="J90" s="777"/>
      <c r="K90" s="729"/>
      <c r="L90" s="729"/>
      <c r="M90" s="729"/>
      <c r="N90" s="731"/>
      <c r="O90" s="731"/>
      <c r="P90" s="778"/>
      <c r="Q90" s="778"/>
      <c r="R90" s="718"/>
      <c r="S90" s="733"/>
      <c r="T90" s="733"/>
      <c r="U90" s="733"/>
      <c r="V90" s="779"/>
      <c r="W90" s="779"/>
      <c r="X90" s="779"/>
      <c r="Y90" s="780"/>
      <c r="Z90" s="780"/>
      <c r="AA90" s="789">
        <v>11</v>
      </c>
      <c r="AB90" s="624" t="s">
        <v>462</v>
      </c>
      <c r="AC90" s="790">
        <v>3</v>
      </c>
      <c r="AD90" s="622">
        <v>3.1</v>
      </c>
      <c r="AE90" s="791">
        <v>7</v>
      </c>
      <c r="AF90" s="622">
        <v>7.5</v>
      </c>
      <c r="AG90" s="622">
        <v>3</v>
      </c>
      <c r="AH90" s="626" t="s">
        <v>448</v>
      </c>
      <c r="AI90" s="626">
        <v>1.2</v>
      </c>
      <c r="AJ90" s="626">
        <v>40.200000000000003</v>
      </c>
      <c r="AK90" s="626">
        <v>1.5</v>
      </c>
      <c r="AL90" s="626">
        <v>4</v>
      </c>
      <c r="AM90" s="626" t="s">
        <v>460</v>
      </c>
      <c r="AN90" s="792">
        <f>$AN$77*$AQ$90+AU90</f>
        <v>30861.599999999999</v>
      </c>
      <c r="AO90" s="792">
        <f>$AO$77*$AQ$90</f>
        <v>5143.6000000000004</v>
      </c>
      <c r="AP90" s="792">
        <f>$AP$77*$AQ$90</f>
        <v>15430.8</v>
      </c>
      <c r="AQ90" s="793">
        <v>51436</v>
      </c>
      <c r="AR90" s="1088"/>
      <c r="AS90" s="626" t="s">
        <v>450</v>
      </c>
      <c r="AT90" s="622">
        <f t="shared" ref="AT90:AT91" si="4">AG90+0.75</f>
        <v>3.75</v>
      </c>
      <c r="AU90" s="794">
        <v>0</v>
      </c>
      <c r="AV90" s="795">
        <f t="shared" si="0"/>
        <v>51436</v>
      </c>
      <c r="AW90" s="786"/>
      <c r="AX90" s="787"/>
      <c r="AY90" s="788"/>
      <c r="AZ90" s="787"/>
      <c r="BA90" s="763"/>
      <c r="BB90" s="763"/>
      <c r="BC90" s="763"/>
      <c r="BD90" s="763"/>
      <c r="BE90" s="763"/>
      <c r="BF90" s="763"/>
      <c r="BG90" s="763"/>
      <c r="BH90" s="763"/>
      <c r="BI90" s="763"/>
      <c r="BJ90" s="763"/>
      <c r="BK90" s="763"/>
      <c r="BL90" s="763"/>
      <c r="BM90" s="763"/>
      <c r="BN90" s="763"/>
      <c r="BO90" s="763"/>
      <c r="BP90" s="763"/>
      <c r="BQ90" s="763"/>
      <c r="BR90" s="763"/>
      <c r="BS90" s="763"/>
      <c r="BT90" s="763"/>
    </row>
    <row r="91" spans="1:72" ht="15" customHeight="1" x14ac:dyDescent="0.25">
      <c r="A91" s="1076"/>
      <c r="B91" s="1077"/>
      <c r="C91" s="719"/>
      <c r="D91" s="774"/>
      <c r="E91" s="775"/>
      <c r="F91" s="775"/>
      <c r="G91" s="775"/>
      <c r="H91" s="729"/>
      <c r="I91" s="776"/>
      <c r="J91" s="777"/>
      <c r="K91" s="729"/>
      <c r="L91" s="729"/>
      <c r="M91" s="729"/>
      <c r="N91" s="731"/>
      <c r="O91" s="731"/>
      <c r="P91" s="778"/>
      <c r="Q91" s="778"/>
      <c r="R91" s="718"/>
      <c r="S91" s="733"/>
      <c r="T91" s="733"/>
      <c r="U91" s="733"/>
      <c r="V91" s="779"/>
      <c r="W91" s="779"/>
      <c r="X91" s="779"/>
      <c r="Y91" s="780"/>
      <c r="Z91" s="780"/>
      <c r="AA91" s="789">
        <v>12</v>
      </c>
      <c r="AB91" s="624" t="s">
        <v>463</v>
      </c>
      <c r="AC91" s="790">
        <v>3</v>
      </c>
      <c r="AD91" s="622">
        <v>3.1</v>
      </c>
      <c r="AE91" s="791">
        <v>7</v>
      </c>
      <c r="AF91" s="622">
        <v>7.5</v>
      </c>
      <c r="AG91" s="622">
        <v>3.5</v>
      </c>
      <c r="AH91" s="626" t="s">
        <v>448</v>
      </c>
      <c r="AI91" s="626">
        <v>1.2</v>
      </c>
      <c r="AJ91" s="626">
        <v>40.200000000000003</v>
      </c>
      <c r="AK91" s="626">
        <v>1.5</v>
      </c>
      <c r="AL91" s="626">
        <v>4.5</v>
      </c>
      <c r="AM91" s="626" t="s">
        <v>460</v>
      </c>
      <c r="AN91" s="792">
        <f>$AN$77*$AQ$91+AU91</f>
        <v>30861.599999999999</v>
      </c>
      <c r="AO91" s="792">
        <f>$AO$77*$AQ$91</f>
        <v>5143.6000000000004</v>
      </c>
      <c r="AP91" s="792">
        <f>$AP$77*$AQ$91</f>
        <v>15430.8</v>
      </c>
      <c r="AQ91" s="793">
        <v>51436</v>
      </c>
      <c r="AR91" s="1088"/>
      <c r="AS91" s="626" t="s">
        <v>450</v>
      </c>
      <c r="AT91" s="622">
        <f t="shared" si="4"/>
        <v>4.25</v>
      </c>
      <c r="AU91" s="794">
        <v>0</v>
      </c>
      <c r="AV91" s="795">
        <f t="shared" si="0"/>
        <v>51436</v>
      </c>
      <c r="AW91" s="786"/>
      <c r="AX91" s="787"/>
      <c r="AY91" s="788"/>
      <c r="AZ91" s="787"/>
      <c r="BA91" s="763"/>
      <c r="BB91" s="763"/>
      <c r="BC91" s="763"/>
      <c r="BD91" s="763"/>
      <c r="BE91" s="763"/>
      <c r="BF91" s="763"/>
      <c r="BG91" s="763"/>
      <c r="BH91" s="763"/>
      <c r="BI91" s="763"/>
      <c r="BJ91" s="763"/>
      <c r="BK91" s="763"/>
      <c r="BL91" s="763"/>
      <c r="BM91" s="763"/>
      <c r="BN91" s="763"/>
      <c r="BO91" s="763"/>
      <c r="BP91" s="763"/>
      <c r="BQ91" s="763"/>
      <c r="BR91" s="763"/>
      <c r="BS91" s="763"/>
      <c r="BT91" s="763"/>
    </row>
    <row r="92" spans="1:72" ht="15" customHeight="1" x14ac:dyDescent="0.25">
      <c r="A92" s="1076"/>
      <c r="B92" s="1077"/>
      <c r="C92" s="719"/>
      <c r="D92" s="774"/>
      <c r="E92" s="775"/>
      <c r="F92" s="775"/>
      <c r="G92" s="775"/>
      <c r="H92" s="729"/>
      <c r="I92" s="776"/>
      <c r="J92" s="777"/>
      <c r="K92" s="729"/>
      <c r="L92" s="729"/>
      <c r="M92" s="729"/>
      <c r="N92" s="731"/>
      <c r="O92" s="731"/>
      <c r="P92" s="778"/>
      <c r="Q92" s="778"/>
      <c r="R92" s="718"/>
      <c r="S92" s="733"/>
      <c r="T92" s="733"/>
      <c r="U92" s="733"/>
      <c r="V92" s="779"/>
      <c r="W92" s="779"/>
      <c r="X92" s="779"/>
      <c r="Y92" s="780"/>
      <c r="Z92" s="780"/>
      <c r="AA92" s="789">
        <v>13</v>
      </c>
      <c r="AB92" s="624" t="s">
        <v>464</v>
      </c>
      <c r="AC92" s="790">
        <v>3</v>
      </c>
      <c r="AD92" s="622"/>
      <c r="AE92" s="791">
        <v>8</v>
      </c>
      <c r="AF92" s="622"/>
      <c r="AG92" s="622">
        <v>2.5</v>
      </c>
      <c r="AH92" s="626" t="s">
        <v>448</v>
      </c>
      <c r="AI92" s="626">
        <v>1.2</v>
      </c>
      <c r="AJ92" s="626"/>
      <c r="AK92" s="626"/>
      <c r="AL92" s="626"/>
      <c r="AM92" s="626"/>
      <c r="AN92" s="792">
        <f>$AN$77*$AQ$92+AU92</f>
        <v>31380</v>
      </c>
      <c r="AO92" s="792">
        <f>$AO$77*$AQ$92</f>
        <v>5230</v>
      </c>
      <c r="AP92" s="792">
        <f>$AP$77*$AQ$92</f>
        <v>15690</v>
      </c>
      <c r="AQ92" s="793">
        <v>52300</v>
      </c>
      <c r="AR92" s="1088"/>
      <c r="AS92" s="626"/>
      <c r="AT92" s="622"/>
      <c r="AU92" s="794">
        <v>0</v>
      </c>
      <c r="AV92" s="795">
        <f t="shared" si="0"/>
        <v>52300</v>
      </c>
      <c r="AW92" s="786"/>
      <c r="AX92" s="787"/>
      <c r="AY92" s="788"/>
      <c r="AZ92" s="787"/>
      <c r="BA92" s="763"/>
      <c r="BB92" s="763"/>
      <c r="BC92" s="763"/>
      <c r="BD92" s="763"/>
      <c r="BE92" s="763"/>
      <c r="BF92" s="763"/>
      <c r="BG92" s="763"/>
      <c r="BH92" s="763"/>
      <c r="BI92" s="763"/>
      <c r="BJ92" s="763"/>
      <c r="BK92" s="763"/>
      <c r="BL92" s="763"/>
      <c r="BM92" s="763"/>
      <c r="BN92" s="763"/>
      <c r="BO92" s="763"/>
      <c r="BP92" s="763"/>
      <c r="BQ92" s="763"/>
      <c r="BR92" s="763"/>
      <c r="BS92" s="763"/>
      <c r="BT92" s="763"/>
    </row>
    <row r="93" spans="1:72" ht="15" customHeight="1" x14ac:dyDescent="0.25">
      <c r="A93" s="1076"/>
      <c r="B93" s="1077"/>
      <c r="C93" s="719"/>
      <c r="D93" s="774"/>
      <c r="E93" s="775"/>
      <c r="F93" s="775"/>
      <c r="G93" s="775"/>
      <c r="H93" s="729"/>
      <c r="I93" s="776"/>
      <c r="J93" s="777"/>
      <c r="K93" s="729"/>
      <c r="L93" s="729"/>
      <c r="M93" s="729"/>
      <c r="N93" s="731"/>
      <c r="O93" s="731"/>
      <c r="P93" s="778"/>
      <c r="Q93" s="778"/>
      <c r="R93" s="718"/>
      <c r="S93" s="733"/>
      <c r="T93" s="733"/>
      <c r="U93" s="733"/>
      <c r="V93" s="779"/>
      <c r="W93" s="779"/>
      <c r="X93" s="779"/>
      <c r="Y93" s="780"/>
      <c r="Z93" s="780"/>
      <c r="AA93" s="789">
        <v>14</v>
      </c>
      <c r="AB93" s="624" t="s">
        <v>465</v>
      </c>
      <c r="AC93" s="790">
        <v>3</v>
      </c>
      <c r="AD93" s="622">
        <v>3.4</v>
      </c>
      <c r="AE93" s="791">
        <v>8</v>
      </c>
      <c r="AF93" s="622">
        <v>10</v>
      </c>
      <c r="AG93" s="622">
        <v>3</v>
      </c>
      <c r="AH93" s="626" t="s">
        <v>448</v>
      </c>
      <c r="AI93" s="626">
        <v>1.2</v>
      </c>
      <c r="AJ93" s="626">
        <v>37.6</v>
      </c>
      <c r="AK93" s="626">
        <v>1.5</v>
      </c>
      <c r="AL93" s="626">
        <v>4</v>
      </c>
      <c r="AM93" s="626" t="s">
        <v>466</v>
      </c>
      <c r="AN93" s="792">
        <f>$AN$77*$AQ$93+AU93</f>
        <v>31380</v>
      </c>
      <c r="AO93" s="792">
        <f>$AO$77*$AQ$93</f>
        <v>5230</v>
      </c>
      <c r="AP93" s="792">
        <f>$AP$77*$AQ$93</f>
        <v>15690</v>
      </c>
      <c r="AQ93" s="793">
        <v>52300</v>
      </c>
      <c r="AR93" s="1088"/>
      <c r="AS93" s="626" t="s">
        <v>450</v>
      </c>
      <c r="AT93" s="622">
        <f t="shared" ref="AT93" si="5">AG93+0.75</f>
        <v>3.75</v>
      </c>
      <c r="AU93" s="794">
        <v>0</v>
      </c>
      <c r="AV93" s="795">
        <f t="shared" si="0"/>
        <v>52300</v>
      </c>
      <c r="AW93" s="786"/>
      <c r="AX93" s="787"/>
      <c r="AY93" s="788"/>
      <c r="AZ93" s="787"/>
      <c r="BA93" s="763"/>
      <c r="BB93" s="763"/>
      <c r="BC93" s="763"/>
      <c r="BD93" s="763"/>
      <c r="BE93" s="763"/>
      <c r="BF93" s="763"/>
      <c r="BG93" s="763"/>
      <c r="BH93" s="763"/>
      <c r="BI93" s="763"/>
      <c r="BJ93" s="763"/>
      <c r="BK93" s="763"/>
      <c r="BL93" s="763"/>
      <c r="BM93" s="763"/>
      <c r="BN93" s="763"/>
      <c r="BO93" s="763"/>
      <c r="BP93" s="763"/>
      <c r="BQ93" s="763"/>
      <c r="BR93" s="763"/>
      <c r="BS93" s="763"/>
      <c r="BT93" s="763"/>
    </row>
    <row r="94" spans="1:72" ht="15" customHeight="1" x14ac:dyDescent="0.25">
      <c r="A94" s="1076"/>
      <c r="B94" s="1077"/>
      <c r="C94" s="719"/>
      <c r="D94" s="774"/>
      <c r="E94" s="775"/>
      <c r="F94" s="775"/>
      <c r="G94" s="775"/>
      <c r="H94" s="729"/>
      <c r="I94" s="776"/>
      <c r="J94" s="777"/>
      <c r="K94" s="729"/>
      <c r="L94" s="729"/>
      <c r="M94" s="729"/>
      <c r="N94" s="731"/>
      <c r="O94" s="731"/>
      <c r="P94" s="778"/>
      <c r="Q94" s="778"/>
      <c r="R94" s="718"/>
      <c r="S94" s="733"/>
      <c r="T94" s="733"/>
      <c r="U94" s="733"/>
      <c r="V94" s="779"/>
      <c r="W94" s="779"/>
      <c r="X94" s="779"/>
      <c r="Y94" s="780"/>
      <c r="Z94" s="780"/>
      <c r="AA94" s="789">
        <v>15</v>
      </c>
      <c r="AB94" s="624" t="s">
        <v>467</v>
      </c>
      <c r="AC94" s="790">
        <v>3</v>
      </c>
      <c r="AD94" s="622"/>
      <c r="AE94" s="791">
        <v>8</v>
      </c>
      <c r="AF94" s="622"/>
      <c r="AG94" s="622">
        <v>3.5</v>
      </c>
      <c r="AH94" s="626" t="s">
        <v>448</v>
      </c>
      <c r="AI94" s="626">
        <v>1.2</v>
      </c>
      <c r="AJ94" s="626"/>
      <c r="AK94" s="626"/>
      <c r="AL94" s="626"/>
      <c r="AM94" s="626"/>
      <c r="AN94" s="792">
        <f>$AN$77*$AQ$94+AU94</f>
        <v>31380</v>
      </c>
      <c r="AO94" s="792">
        <f>$AO$77*$AQ$94</f>
        <v>5230</v>
      </c>
      <c r="AP94" s="792">
        <f>$AP$77*$AQ$94</f>
        <v>15690</v>
      </c>
      <c r="AQ94" s="793">
        <v>52300</v>
      </c>
      <c r="AR94" s="1088"/>
      <c r="AS94" s="626"/>
      <c r="AT94" s="622"/>
      <c r="AU94" s="794">
        <v>0</v>
      </c>
      <c r="AV94" s="795">
        <f t="shared" si="0"/>
        <v>52300</v>
      </c>
      <c r="AW94" s="786"/>
      <c r="AX94" s="787"/>
      <c r="AY94" s="788"/>
      <c r="AZ94" s="787"/>
      <c r="BA94" s="763"/>
      <c r="BB94" s="763"/>
      <c r="BC94" s="763"/>
      <c r="BD94" s="763"/>
      <c r="BE94" s="763"/>
      <c r="BF94" s="763"/>
      <c r="BG94" s="763"/>
      <c r="BH94" s="763"/>
      <c r="BI94" s="763"/>
      <c r="BJ94" s="763"/>
      <c r="BK94" s="763"/>
      <c r="BL94" s="763"/>
      <c r="BM94" s="763"/>
      <c r="BN94" s="763"/>
      <c r="BO94" s="763"/>
      <c r="BP94" s="763"/>
      <c r="BQ94" s="763"/>
      <c r="BR94" s="763"/>
      <c r="BS94" s="763"/>
      <c r="BT94" s="763"/>
    </row>
    <row r="95" spans="1:72" ht="15" customHeight="1" x14ac:dyDescent="0.25">
      <c r="A95" s="1076"/>
      <c r="B95" s="1077"/>
      <c r="C95" s="719"/>
      <c r="D95" s="774"/>
      <c r="E95" s="775"/>
      <c r="F95" s="775"/>
      <c r="G95" s="775"/>
      <c r="H95" s="729"/>
      <c r="I95" s="776"/>
      <c r="J95" s="777"/>
      <c r="K95" s="729"/>
      <c r="L95" s="729"/>
      <c r="M95" s="729"/>
      <c r="N95" s="731"/>
      <c r="O95" s="731"/>
      <c r="P95" s="778"/>
      <c r="Q95" s="778"/>
      <c r="R95" s="718"/>
      <c r="S95" s="733"/>
      <c r="T95" s="733"/>
      <c r="U95" s="733"/>
      <c r="V95" s="779"/>
      <c r="W95" s="779"/>
      <c r="X95" s="779"/>
      <c r="Y95" s="780"/>
      <c r="Z95" s="780"/>
      <c r="AA95" s="789">
        <v>16</v>
      </c>
      <c r="AB95" s="624" t="s">
        <v>468</v>
      </c>
      <c r="AC95" s="790">
        <v>3</v>
      </c>
      <c r="AD95" s="622">
        <v>3.4</v>
      </c>
      <c r="AE95" s="791">
        <v>8</v>
      </c>
      <c r="AF95" s="622">
        <v>10</v>
      </c>
      <c r="AG95" s="622">
        <v>4</v>
      </c>
      <c r="AH95" s="626" t="s">
        <v>448</v>
      </c>
      <c r="AI95" s="626">
        <v>1.2</v>
      </c>
      <c r="AJ95" s="626">
        <v>37.6</v>
      </c>
      <c r="AK95" s="626">
        <v>1.5</v>
      </c>
      <c r="AL95" s="626">
        <v>5</v>
      </c>
      <c r="AM95" s="626" t="s">
        <v>466</v>
      </c>
      <c r="AN95" s="792">
        <f>$AN$77*$AQ$95+AU95</f>
        <v>31380</v>
      </c>
      <c r="AO95" s="792">
        <f>$AO$77*$AQ$95</f>
        <v>5230</v>
      </c>
      <c r="AP95" s="792">
        <f>$AP$77*$AQ$95</f>
        <v>15690</v>
      </c>
      <c r="AQ95" s="793">
        <v>52300</v>
      </c>
      <c r="AR95" s="1088"/>
      <c r="AS95" s="626" t="s">
        <v>450</v>
      </c>
      <c r="AT95" s="622">
        <f t="shared" ref="AT95:AT96" si="6">AG95+0.75</f>
        <v>4.75</v>
      </c>
      <c r="AU95" s="794">
        <v>0</v>
      </c>
      <c r="AV95" s="795">
        <f t="shared" si="0"/>
        <v>52300</v>
      </c>
      <c r="AW95" s="786"/>
      <c r="AX95" s="787"/>
      <c r="AY95" s="788"/>
      <c r="AZ95" s="787"/>
      <c r="BA95" s="763"/>
      <c r="BB95" s="763"/>
      <c r="BC95" s="763"/>
      <c r="BD95" s="763"/>
      <c r="BE95" s="763"/>
      <c r="BF95" s="763"/>
      <c r="BG95" s="763"/>
      <c r="BH95" s="763"/>
      <c r="BI95" s="763"/>
      <c r="BJ95" s="763"/>
      <c r="BK95" s="763"/>
      <c r="BL95" s="763"/>
      <c r="BM95" s="763"/>
      <c r="BN95" s="763"/>
      <c r="BO95" s="763"/>
      <c r="BP95" s="763"/>
      <c r="BQ95" s="763"/>
      <c r="BR95" s="763"/>
      <c r="BS95" s="763"/>
      <c r="BT95" s="763"/>
    </row>
    <row r="96" spans="1:72" ht="15" customHeight="1" x14ac:dyDescent="0.25">
      <c r="A96" s="1076"/>
      <c r="B96" s="1077"/>
      <c r="C96" s="719"/>
      <c r="D96" s="774"/>
      <c r="E96" s="775"/>
      <c r="F96" s="775"/>
      <c r="G96" s="775"/>
      <c r="H96" s="729"/>
      <c r="I96" s="776"/>
      <c r="J96" s="777"/>
      <c r="K96" s="729"/>
      <c r="L96" s="729"/>
      <c r="M96" s="729"/>
      <c r="N96" s="731"/>
      <c r="O96" s="731"/>
      <c r="P96" s="778"/>
      <c r="Q96" s="778"/>
      <c r="R96" s="718"/>
      <c r="S96" s="733"/>
      <c r="T96" s="733"/>
      <c r="U96" s="733"/>
      <c r="V96" s="779"/>
      <c r="W96" s="779"/>
      <c r="X96" s="779"/>
      <c r="Y96" s="780"/>
      <c r="Z96" s="780"/>
      <c r="AA96" s="789">
        <v>17</v>
      </c>
      <c r="AB96" s="624" t="s">
        <v>469</v>
      </c>
      <c r="AC96" s="790">
        <v>3</v>
      </c>
      <c r="AD96" s="622">
        <v>3.4</v>
      </c>
      <c r="AE96" s="791">
        <v>8</v>
      </c>
      <c r="AF96" s="622">
        <v>10</v>
      </c>
      <c r="AG96" s="622">
        <v>5</v>
      </c>
      <c r="AH96" s="626" t="s">
        <v>448</v>
      </c>
      <c r="AI96" s="626">
        <v>1.2</v>
      </c>
      <c r="AJ96" s="626">
        <v>37.6</v>
      </c>
      <c r="AK96" s="626">
        <v>1.5</v>
      </c>
      <c r="AL96" s="626">
        <v>6</v>
      </c>
      <c r="AM96" s="626" t="s">
        <v>466</v>
      </c>
      <c r="AN96" s="792">
        <f>$AN$77*$AQ$96+AU96</f>
        <v>31380</v>
      </c>
      <c r="AO96" s="792">
        <f>$AO$77*$AQ$96</f>
        <v>5230</v>
      </c>
      <c r="AP96" s="792">
        <f>$AP$77*$AQ$96</f>
        <v>15690</v>
      </c>
      <c r="AQ96" s="793">
        <v>52300</v>
      </c>
      <c r="AR96" s="1088"/>
      <c r="AS96" s="626" t="s">
        <v>450</v>
      </c>
      <c r="AT96" s="622">
        <f t="shared" si="6"/>
        <v>5.75</v>
      </c>
      <c r="AU96" s="794">
        <v>0</v>
      </c>
      <c r="AV96" s="795">
        <f t="shared" si="0"/>
        <v>52300</v>
      </c>
      <c r="AW96" s="786"/>
      <c r="AX96" s="787"/>
      <c r="AY96" s="788"/>
      <c r="AZ96" s="787"/>
      <c r="BA96" s="763"/>
      <c r="BB96" s="763"/>
      <c r="BC96" s="763"/>
      <c r="BD96" s="763"/>
      <c r="BE96" s="763"/>
      <c r="BF96" s="763"/>
      <c r="BG96" s="763"/>
      <c r="BH96" s="763"/>
      <c r="BI96" s="763"/>
      <c r="BJ96" s="763"/>
      <c r="BK96" s="763"/>
      <c r="BL96" s="763"/>
      <c r="BM96" s="763"/>
      <c r="BN96" s="763"/>
      <c r="BO96" s="763"/>
      <c r="BP96" s="763"/>
      <c r="BQ96" s="763"/>
      <c r="BR96" s="763"/>
      <c r="BS96" s="763"/>
      <c r="BT96" s="763"/>
    </row>
    <row r="97" spans="1:72" ht="15" customHeight="1" x14ac:dyDescent="0.25">
      <c r="A97" s="1076"/>
      <c r="B97" s="1077"/>
      <c r="C97" s="719"/>
      <c r="D97" s="774"/>
      <c r="E97" s="775"/>
      <c r="F97" s="775"/>
      <c r="G97" s="775"/>
      <c r="H97" s="729"/>
      <c r="I97" s="776"/>
      <c r="J97" s="777"/>
      <c r="K97" s="729"/>
      <c r="L97" s="729"/>
      <c r="M97" s="729"/>
      <c r="N97" s="731"/>
      <c r="O97" s="731"/>
      <c r="P97" s="778"/>
      <c r="Q97" s="778"/>
      <c r="R97" s="718"/>
      <c r="S97" s="733"/>
      <c r="T97" s="733"/>
      <c r="U97" s="733"/>
      <c r="V97" s="779"/>
      <c r="W97" s="779"/>
      <c r="X97" s="779"/>
      <c r="Y97" s="780"/>
      <c r="Z97" s="780"/>
      <c r="AA97" s="789">
        <v>18</v>
      </c>
      <c r="AB97" s="624" t="s">
        <v>470</v>
      </c>
      <c r="AC97" s="790">
        <v>3</v>
      </c>
      <c r="AD97" s="622"/>
      <c r="AE97" s="791">
        <v>9</v>
      </c>
      <c r="AF97" s="622"/>
      <c r="AG97" s="622">
        <v>2.5</v>
      </c>
      <c r="AH97" s="626" t="s">
        <v>448</v>
      </c>
      <c r="AI97" s="626">
        <v>1.2</v>
      </c>
      <c r="AJ97" s="626"/>
      <c r="AK97" s="626"/>
      <c r="AL97" s="626"/>
      <c r="AM97" s="626"/>
      <c r="AN97" s="792">
        <f>$AN$77*$AQ$97+AU97</f>
        <v>31380</v>
      </c>
      <c r="AO97" s="792">
        <f>$AO$77*$AQ$97</f>
        <v>5230</v>
      </c>
      <c r="AP97" s="792">
        <f>$AP$77*$AQ$97</f>
        <v>15690</v>
      </c>
      <c r="AQ97" s="793">
        <v>52300</v>
      </c>
      <c r="AR97" s="1088"/>
      <c r="AS97" s="626"/>
      <c r="AT97" s="622"/>
      <c r="AU97" s="794">
        <v>0</v>
      </c>
      <c r="AV97" s="795">
        <f t="shared" si="0"/>
        <v>52300</v>
      </c>
      <c r="AW97" s="786"/>
      <c r="AX97" s="787"/>
      <c r="AY97" s="788"/>
      <c r="AZ97" s="787"/>
      <c r="BA97" s="763"/>
      <c r="BB97" s="763"/>
      <c r="BC97" s="763"/>
      <c r="BD97" s="763"/>
      <c r="BE97" s="763"/>
      <c r="BF97" s="763"/>
      <c r="BG97" s="763"/>
      <c r="BH97" s="763"/>
      <c r="BI97" s="763"/>
      <c r="BJ97" s="763"/>
      <c r="BK97" s="763"/>
      <c r="BL97" s="763"/>
      <c r="BM97" s="763"/>
      <c r="BN97" s="763"/>
      <c r="BO97" s="763"/>
      <c r="BP97" s="763"/>
      <c r="BQ97" s="763"/>
      <c r="BR97" s="763"/>
      <c r="BS97" s="763"/>
      <c r="BT97" s="763"/>
    </row>
    <row r="98" spans="1:72" ht="15" customHeight="1" x14ac:dyDescent="0.25">
      <c r="A98" s="1076"/>
      <c r="B98" s="1077"/>
      <c r="C98" s="719"/>
      <c r="D98" s="774"/>
      <c r="E98" s="775"/>
      <c r="F98" s="775"/>
      <c r="G98" s="775"/>
      <c r="H98" s="729"/>
      <c r="I98" s="776"/>
      <c r="J98" s="777"/>
      <c r="K98" s="729"/>
      <c r="L98" s="729"/>
      <c r="M98" s="729"/>
      <c r="N98" s="731"/>
      <c r="O98" s="731"/>
      <c r="P98" s="778"/>
      <c r="Q98" s="778"/>
      <c r="R98" s="718"/>
      <c r="S98" s="733"/>
      <c r="T98" s="733"/>
      <c r="U98" s="733"/>
      <c r="V98" s="779"/>
      <c r="W98" s="779"/>
      <c r="X98" s="779"/>
      <c r="Y98" s="780"/>
      <c r="Z98" s="780"/>
      <c r="AA98" s="789">
        <v>19</v>
      </c>
      <c r="AB98" s="624" t="s">
        <v>471</v>
      </c>
      <c r="AC98" s="790">
        <v>3</v>
      </c>
      <c r="AD98" s="622">
        <v>3.2</v>
      </c>
      <c r="AE98" s="791">
        <v>9</v>
      </c>
      <c r="AF98" s="622">
        <v>10.199999999999999</v>
      </c>
      <c r="AG98" s="622">
        <v>3</v>
      </c>
      <c r="AH98" s="626" t="s">
        <v>448</v>
      </c>
      <c r="AI98" s="626">
        <v>1.2</v>
      </c>
      <c r="AJ98" s="626">
        <v>36.799999999999997</v>
      </c>
      <c r="AK98" s="626">
        <v>1.5</v>
      </c>
      <c r="AL98" s="626">
        <v>4</v>
      </c>
      <c r="AM98" s="626" t="s">
        <v>466</v>
      </c>
      <c r="AN98" s="792">
        <f>$AN$77*$AQ$98+AU98</f>
        <v>31380</v>
      </c>
      <c r="AO98" s="792">
        <f>$AO$77*$AQ$98</f>
        <v>5230</v>
      </c>
      <c r="AP98" s="792">
        <f>$AP$77*$AQ$98</f>
        <v>15690</v>
      </c>
      <c r="AQ98" s="793">
        <v>52300</v>
      </c>
      <c r="AR98" s="1088"/>
      <c r="AS98" s="626" t="s">
        <v>450</v>
      </c>
      <c r="AT98" s="622">
        <f t="shared" ref="AT98:AT99" si="7">AG98+0.75</f>
        <v>3.75</v>
      </c>
      <c r="AU98" s="794">
        <v>0</v>
      </c>
      <c r="AV98" s="795">
        <f t="shared" si="0"/>
        <v>52300</v>
      </c>
      <c r="AW98" s="786"/>
      <c r="AX98" s="787"/>
      <c r="AY98" s="788"/>
      <c r="AZ98" s="787"/>
      <c r="BA98" s="763"/>
      <c r="BB98" s="763"/>
      <c r="BC98" s="763"/>
      <c r="BD98" s="763"/>
      <c r="BE98" s="763"/>
      <c r="BF98" s="763"/>
      <c r="BG98" s="763"/>
      <c r="BH98" s="763"/>
      <c r="BI98" s="763"/>
      <c r="BJ98" s="763"/>
      <c r="BK98" s="763"/>
      <c r="BL98" s="763"/>
      <c r="BM98" s="763"/>
      <c r="BN98" s="763"/>
      <c r="BO98" s="763"/>
      <c r="BP98" s="763"/>
      <c r="BQ98" s="763"/>
      <c r="BR98" s="763"/>
      <c r="BS98" s="763"/>
      <c r="BT98" s="763"/>
    </row>
    <row r="99" spans="1:72" ht="15" customHeight="1" x14ac:dyDescent="0.25">
      <c r="A99" s="1076"/>
      <c r="B99" s="1077"/>
      <c r="C99" s="719"/>
      <c r="D99" s="774"/>
      <c r="E99" s="775"/>
      <c r="F99" s="775"/>
      <c r="G99" s="775"/>
      <c r="H99" s="729"/>
      <c r="I99" s="776"/>
      <c r="J99" s="777"/>
      <c r="K99" s="729"/>
      <c r="L99" s="729"/>
      <c r="M99" s="729"/>
      <c r="N99" s="731"/>
      <c r="O99" s="731"/>
      <c r="P99" s="778"/>
      <c r="Q99" s="778"/>
      <c r="R99" s="718"/>
      <c r="S99" s="733"/>
      <c r="T99" s="733"/>
      <c r="U99" s="733"/>
      <c r="V99" s="779"/>
      <c r="W99" s="779"/>
      <c r="X99" s="779"/>
      <c r="Y99" s="780"/>
      <c r="Z99" s="780"/>
      <c r="AA99" s="789">
        <v>20</v>
      </c>
      <c r="AB99" s="624" t="s">
        <v>472</v>
      </c>
      <c r="AC99" s="790">
        <v>3</v>
      </c>
      <c r="AD99" s="622">
        <v>3.2</v>
      </c>
      <c r="AE99" s="791">
        <v>9</v>
      </c>
      <c r="AF99" s="622">
        <v>10.199999999999999</v>
      </c>
      <c r="AG99" s="622">
        <v>4</v>
      </c>
      <c r="AH99" s="626" t="s">
        <v>448</v>
      </c>
      <c r="AI99" s="626">
        <v>1.2</v>
      </c>
      <c r="AJ99" s="626">
        <v>36.799999999999997</v>
      </c>
      <c r="AK99" s="626">
        <v>1.5</v>
      </c>
      <c r="AL99" s="626">
        <v>5</v>
      </c>
      <c r="AM99" s="626" t="s">
        <v>466</v>
      </c>
      <c r="AN99" s="792">
        <f>$AN$77*$AQ$99+AU99</f>
        <v>31380</v>
      </c>
      <c r="AO99" s="792">
        <f>$AO$77*$AQ$99</f>
        <v>5230</v>
      </c>
      <c r="AP99" s="792">
        <f>$AP$77*$AQ$99</f>
        <v>15690</v>
      </c>
      <c r="AQ99" s="793">
        <v>52300</v>
      </c>
      <c r="AR99" s="1088"/>
      <c r="AS99" s="626" t="s">
        <v>450</v>
      </c>
      <c r="AT99" s="622">
        <f t="shared" si="7"/>
        <v>4.75</v>
      </c>
      <c r="AU99" s="794">
        <v>0</v>
      </c>
      <c r="AV99" s="795">
        <f t="shared" si="0"/>
        <v>52300</v>
      </c>
      <c r="AW99" s="786"/>
      <c r="AX99" s="787"/>
      <c r="AY99" s="788"/>
      <c r="AZ99" s="787"/>
      <c r="BA99" s="763"/>
      <c r="BB99" s="763"/>
      <c r="BC99" s="763"/>
      <c r="BD99" s="763"/>
      <c r="BE99" s="763"/>
      <c r="BF99" s="763"/>
      <c r="BG99" s="763"/>
      <c r="BH99" s="763"/>
      <c r="BI99" s="763"/>
      <c r="BJ99" s="763"/>
      <c r="BK99" s="763"/>
      <c r="BL99" s="763"/>
      <c r="BM99" s="763"/>
      <c r="BN99" s="763"/>
      <c r="BO99" s="763"/>
      <c r="BP99" s="763"/>
      <c r="BQ99" s="763"/>
      <c r="BR99" s="763"/>
      <c r="BS99" s="763"/>
      <c r="BT99" s="763"/>
    </row>
    <row r="100" spans="1:72" x14ac:dyDescent="0.25">
      <c r="B100" s="1077"/>
      <c r="C100" s="719"/>
      <c r="D100" s="774"/>
      <c r="E100" s="775"/>
      <c r="F100" s="775"/>
      <c r="G100" s="775"/>
      <c r="H100" s="729"/>
      <c r="I100" s="776"/>
      <c r="J100" s="777"/>
      <c r="K100" s="729"/>
      <c r="L100" s="729"/>
      <c r="M100" s="729"/>
      <c r="N100" s="731"/>
      <c r="O100" s="731"/>
      <c r="P100" s="778"/>
      <c r="Q100" s="778"/>
      <c r="R100" s="718"/>
      <c r="S100" s="733"/>
      <c r="T100" s="733"/>
      <c r="U100" s="733"/>
      <c r="V100" s="779"/>
      <c r="W100" s="779"/>
      <c r="X100" s="779"/>
      <c r="Y100" s="780"/>
      <c r="Z100" s="780"/>
      <c r="AA100" s="789">
        <v>21</v>
      </c>
      <c r="AB100" s="624" t="s">
        <v>473</v>
      </c>
      <c r="AC100" s="790">
        <v>3</v>
      </c>
      <c r="AD100" s="622"/>
      <c r="AE100" s="791">
        <v>10</v>
      </c>
      <c r="AF100" s="622"/>
      <c r="AG100" s="622">
        <v>2</v>
      </c>
      <c r="AH100" s="626" t="s">
        <v>448</v>
      </c>
      <c r="AI100" s="626">
        <v>1.2</v>
      </c>
      <c r="AJ100" s="626"/>
      <c r="AK100" s="626"/>
      <c r="AL100" s="626"/>
      <c r="AM100" s="626"/>
      <c r="AN100" s="792">
        <f>$AN$77*$AQ$100+AU100</f>
        <v>31380</v>
      </c>
      <c r="AO100" s="792">
        <f>$AO$77*$AQ$100</f>
        <v>5230</v>
      </c>
      <c r="AP100" s="792">
        <f>$AP$77*$AQ$100</f>
        <v>15690</v>
      </c>
      <c r="AQ100" s="793">
        <v>52300</v>
      </c>
      <c r="AR100" s="1088"/>
      <c r="AS100" s="626"/>
      <c r="AT100" s="622"/>
      <c r="AU100" s="794">
        <v>0</v>
      </c>
      <c r="AV100" s="795">
        <f t="shared" si="0"/>
        <v>52300</v>
      </c>
      <c r="AW100" s="786"/>
      <c r="AX100" s="787"/>
      <c r="AY100" s="788"/>
      <c r="AZ100" s="787"/>
      <c r="BA100" s="763"/>
      <c r="BB100" s="763"/>
      <c r="BC100" s="763"/>
      <c r="BD100" s="763"/>
      <c r="BE100" s="763"/>
      <c r="BF100" s="763"/>
      <c r="BG100" s="763"/>
      <c r="BH100" s="763"/>
      <c r="BI100" s="763"/>
      <c r="BJ100" s="763"/>
      <c r="BK100" s="763"/>
      <c r="BL100" s="763"/>
      <c r="BM100" s="763"/>
      <c r="BN100" s="763"/>
      <c r="BO100" s="763"/>
      <c r="BP100" s="763"/>
      <c r="BQ100" s="763"/>
      <c r="BR100" s="763"/>
      <c r="BS100" s="763"/>
      <c r="BT100" s="763"/>
    </row>
    <row r="101" spans="1:72" x14ac:dyDescent="0.25">
      <c r="B101" s="1077"/>
      <c r="C101" s="719"/>
      <c r="D101" s="774"/>
      <c r="E101" s="775"/>
      <c r="F101" s="775"/>
      <c r="G101" s="775"/>
      <c r="H101" s="729"/>
      <c r="I101" s="776"/>
      <c r="J101" s="777"/>
      <c r="K101" s="729"/>
      <c r="L101" s="729"/>
      <c r="M101" s="729"/>
      <c r="N101" s="731"/>
      <c r="O101" s="731"/>
      <c r="P101" s="778"/>
      <c r="Q101" s="778"/>
      <c r="R101" s="718"/>
      <c r="S101" s="733"/>
      <c r="T101" s="733"/>
      <c r="U101" s="733"/>
      <c r="V101" s="779"/>
      <c r="W101" s="779"/>
      <c r="X101" s="779"/>
      <c r="Y101" s="780"/>
      <c r="Z101" s="780"/>
      <c r="AA101" s="789">
        <v>22</v>
      </c>
      <c r="AB101" s="624" t="s">
        <v>474</v>
      </c>
      <c r="AC101" s="790">
        <v>3</v>
      </c>
      <c r="AD101" s="622"/>
      <c r="AE101" s="791">
        <v>10</v>
      </c>
      <c r="AF101" s="622"/>
      <c r="AG101" s="622">
        <v>2.5</v>
      </c>
      <c r="AH101" s="626" t="s">
        <v>448</v>
      </c>
      <c r="AI101" s="626">
        <v>1.2</v>
      </c>
      <c r="AJ101" s="626"/>
      <c r="AK101" s="626"/>
      <c r="AL101" s="626"/>
      <c r="AM101" s="626"/>
      <c r="AN101" s="792">
        <f>$AN$77*$AQ$101+AU101</f>
        <v>31380</v>
      </c>
      <c r="AO101" s="792">
        <f>$AO$77*$AQ$101</f>
        <v>5230</v>
      </c>
      <c r="AP101" s="792">
        <f>$AP$77*$AQ$101</f>
        <v>15690</v>
      </c>
      <c r="AQ101" s="793">
        <v>52300</v>
      </c>
      <c r="AR101" s="1088"/>
      <c r="AS101" s="626"/>
      <c r="AT101" s="622"/>
      <c r="AU101" s="794">
        <v>0</v>
      </c>
      <c r="AV101" s="795">
        <f t="shared" si="0"/>
        <v>52300</v>
      </c>
      <c r="AW101" s="786"/>
      <c r="AX101" s="787"/>
      <c r="AY101" s="788"/>
      <c r="AZ101" s="787"/>
      <c r="BA101" s="763"/>
      <c r="BB101" s="763"/>
      <c r="BC101" s="763"/>
      <c r="BD101" s="763"/>
      <c r="BE101" s="763"/>
      <c r="BF101" s="763"/>
      <c r="BG101" s="763"/>
      <c r="BH101" s="763"/>
      <c r="BI101" s="763"/>
      <c r="BJ101" s="763"/>
      <c r="BK101" s="763"/>
      <c r="BL101" s="763"/>
      <c r="BM101" s="763"/>
      <c r="BN101" s="763"/>
      <c r="BO101" s="763"/>
      <c r="BP101" s="763"/>
      <c r="BQ101" s="763"/>
      <c r="BR101" s="763"/>
      <c r="BS101" s="763"/>
      <c r="BT101" s="763"/>
    </row>
    <row r="102" spans="1:72" x14ac:dyDescent="0.25">
      <c r="B102" s="1077"/>
      <c r="C102" s="719"/>
      <c r="D102" s="774"/>
      <c r="E102" s="775"/>
      <c r="F102" s="775"/>
      <c r="G102" s="775"/>
      <c r="H102" s="729"/>
      <c r="I102" s="776"/>
      <c r="J102" s="777"/>
      <c r="K102" s="729"/>
      <c r="L102" s="729"/>
      <c r="M102" s="729"/>
      <c r="N102" s="731"/>
      <c r="O102" s="731"/>
      <c r="P102" s="778"/>
      <c r="Q102" s="778"/>
      <c r="R102" s="718"/>
      <c r="S102" s="733"/>
      <c r="T102" s="733"/>
      <c r="U102" s="733"/>
      <c r="V102" s="779"/>
      <c r="W102" s="779"/>
      <c r="X102" s="779"/>
      <c r="Y102" s="780"/>
      <c r="Z102" s="780"/>
      <c r="AA102" s="789">
        <v>23</v>
      </c>
      <c r="AB102" s="624" t="s">
        <v>475</v>
      </c>
      <c r="AC102" s="790">
        <v>3</v>
      </c>
      <c r="AD102" s="622">
        <v>3.2</v>
      </c>
      <c r="AE102" s="791">
        <v>10</v>
      </c>
      <c r="AF102" s="622">
        <v>10.199999999999999</v>
      </c>
      <c r="AG102" s="622">
        <v>3</v>
      </c>
      <c r="AH102" s="626" t="s">
        <v>448</v>
      </c>
      <c r="AI102" s="626">
        <v>1.2</v>
      </c>
      <c r="AJ102" s="626">
        <v>36.799999999999997</v>
      </c>
      <c r="AK102" s="626">
        <v>1.5</v>
      </c>
      <c r="AL102" s="626">
        <v>4</v>
      </c>
      <c r="AM102" s="626" t="s">
        <v>466</v>
      </c>
      <c r="AN102" s="792">
        <f>$AN$77*$AQ$102+AU102</f>
        <v>31380</v>
      </c>
      <c r="AO102" s="792">
        <f>$AO$77*$AQ$102</f>
        <v>5230</v>
      </c>
      <c r="AP102" s="792">
        <f>$AP$77*$AQ$102</f>
        <v>15690</v>
      </c>
      <c r="AQ102" s="793">
        <v>52300</v>
      </c>
      <c r="AR102" s="1088"/>
      <c r="AS102" s="626" t="s">
        <v>450</v>
      </c>
      <c r="AT102" s="622">
        <f t="shared" ref="AT102:AT103" si="8">AG102+0.75</f>
        <v>3.75</v>
      </c>
      <c r="AU102" s="794">
        <v>0</v>
      </c>
      <c r="AV102" s="795">
        <f t="shared" si="0"/>
        <v>52300</v>
      </c>
      <c r="AW102" s="786"/>
      <c r="AX102" s="787"/>
      <c r="AY102" s="788"/>
      <c r="AZ102" s="787"/>
      <c r="BA102" s="763"/>
      <c r="BB102" s="763"/>
      <c r="BC102" s="763"/>
      <c r="BD102" s="763"/>
      <c r="BE102" s="763"/>
      <c r="BF102" s="763"/>
      <c r="BG102" s="763"/>
      <c r="BH102" s="763"/>
      <c r="BI102" s="763"/>
      <c r="BJ102" s="763"/>
      <c r="BK102" s="763"/>
      <c r="BL102" s="763"/>
      <c r="BM102" s="763"/>
      <c r="BN102" s="763"/>
      <c r="BO102" s="763"/>
      <c r="BP102" s="763"/>
      <c r="BQ102" s="763"/>
      <c r="BR102" s="763"/>
      <c r="BS102" s="763"/>
      <c r="BT102" s="763"/>
    </row>
    <row r="103" spans="1:72" x14ac:dyDescent="0.25">
      <c r="B103" s="1077"/>
      <c r="C103" s="719"/>
      <c r="D103" s="774"/>
      <c r="E103" s="775"/>
      <c r="F103" s="775"/>
      <c r="G103" s="775"/>
      <c r="H103" s="729"/>
      <c r="I103" s="776"/>
      <c r="J103" s="777"/>
      <c r="K103" s="729"/>
      <c r="L103" s="729"/>
      <c r="M103" s="729"/>
      <c r="N103" s="731"/>
      <c r="O103" s="731"/>
      <c r="P103" s="778"/>
      <c r="Q103" s="778"/>
      <c r="R103" s="718"/>
      <c r="S103" s="733"/>
      <c r="T103" s="733"/>
      <c r="U103" s="733"/>
      <c r="V103" s="779"/>
      <c r="W103" s="779"/>
      <c r="X103" s="779"/>
      <c r="Y103" s="780"/>
      <c r="Z103" s="780"/>
      <c r="AA103" s="789">
        <v>24</v>
      </c>
      <c r="AB103" s="624" t="s">
        <v>476</v>
      </c>
      <c r="AC103" s="790">
        <v>3</v>
      </c>
      <c r="AD103" s="622">
        <v>3.2</v>
      </c>
      <c r="AE103" s="791">
        <v>10</v>
      </c>
      <c r="AF103" s="622">
        <v>11.5</v>
      </c>
      <c r="AG103" s="622">
        <v>3.5</v>
      </c>
      <c r="AH103" s="626" t="s">
        <v>448</v>
      </c>
      <c r="AI103" s="626">
        <v>1.2</v>
      </c>
      <c r="AJ103" s="626">
        <v>44</v>
      </c>
      <c r="AK103" s="626">
        <v>1.5</v>
      </c>
      <c r="AL103" s="626">
        <v>4.5</v>
      </c>
      <c r="AM103" s="626" t="s">
        <v>477</v>
      </c>
      <c r="AN103" s="792">
        <f>$AN$77*$AQ$103+AU103</f>
        <v>31380</v>
      </c>
      <c r="AO103" s="792">
        <f>$AO$77*$AQ$103</f>
        <v>5230</v>
      </c>
      <c r="AP103" s="792">
        <f>$AP$77*$AQ$103</f>
        <v>15690</v>
      </c>
      <c r="AQ103" s="793">
        <v>52300</v>
      </c>
      <c r="AR103" s="1088"/>
      <c r="AS103" s="626" t="s">
        <v>450</v>
      </c>
      <c r="AT103" s="622">
        <f t="shared" si="8"/>
        <v>4.25</v>
      </c>
      <c r="AU103" s="794">
        <v>0</v>
      </c>
      <c r="AV103" s="795">
        <f t="shared" si="0"/>
        <v>52300</v>
      </c>
      <c r="AW103" s="786"/>
      <c r="AX103" s="787"/>
      <c r="AY103" s="788"/>
      <c r="AZ103" s="787"/>
    </row>
    <row r="104" spans="1:72" x14ac:dyDescent="0.25">
      <c r="B104" s="1077"/>
      <c r="C104" s="719"/>
      <c r="D104" s="774"/>
      <c r="E104" s="775"/>
      <c r="F104" s="775"/>
      <c r="G104" s="775"/>
      <c r="H104" s="729"/>
      <c r="I104" s="776"/>
      <c r="J104" s="777"/>
      <c r="K104" s="729"/>
      <c r="L104" s="729"/>
      <c r="M104" s="729"/>
      <c r="N104" s="731"/>
      <c r="O104" s="731"/>
      <c r="P104" s="778"/>
      <c r="Q104" s="778"/>
      <c r="R104" s="718"/>
      <c r="S104" s="733"/>
      <c r="T104" s="733"/>
      <c r="U104" s="733"/>
      <c r="V104" s="779"/>
      <c r="W104" s="779"/>
      <c r="X104" s="779"/>
      <c r="Y104" s="780"/>
      <c r="Z104" s="780"/>
      <c r="AA104" s="789">
        <v>25</v>
      </c>
      <c r="AB104" s="624" t="s">
        <v>478</v>
      </c>
      <c r="AC104" s="790">
        <v>3</v>
      </c>
      <c r="AD104" s="622"/>
      <c r="AE104" s="791">
        <v>11</v>
      </c>
      <c r="AF104" s="622"/>
      <c r="AG104" s="622">
        <v>2.5</v>
      </c>
      <c r="AH104" s="626" t="s">
        <v>448</v>
      </c>
      <c r="AI104" s="626">
        <v>1.2</v>
      </c>
      <c r="AJ104" s="626"/>
      <c r="AK104" s="626"/>
      <c r="AL104" s="626"/>
      <c r="AM104" s="626"/>
      <c r="AN104" s="792">
        <f>$AN$77*$AQ$104+AU104</f>
        <v>31380</v>
      </c>
      <c r="AO104" s="792">
        <f>$AO$77*$AQ$104</f>
        <v>5230</v>
      </c>
      <c r="AP104" s="792">
        <f>$AP$77*$AQ$104</f>
        <v>15690</v>
      </c>
      <c r="AQ104" s="793">
        <v>52300</v>
      </c>
      <c r="AR104" s="1088"/>
      <c r="AS104" s="626"/>
      <c r="AT104" s="622"/>
      <c r="AU104" s="794">
        <v>0</v>
      </c>
      <c r="AV104" s="795">
        <f t="shared" si="0"/>
        <v>52300</v>
      </c>
      <c r="AW104" s="786"/>
      <c r="AX104" s="787"/>
      <c r="AY104" s="788"/>
      <c r="AZ104" s="787"/>
    </row>
    <row r="105" spans="1:72" x14ac:dyDescent="0.25">
      <c r="B105" s="1077"/>
      <c r="C105" s="719"/>
      <c r="D105" s="774"/>
      <c r="E105" s="775"/>
      <c r="F105" s="775"/>
      <c r="G105" s="775"/>
      <c r="H105" s="729"/>
      <c r="I105" s="776"/>
      <c r="J105" s="777"/>
      <c r="K105" s="729"/>
      <c r="L105" s="729"/>
      <c r="M105" s="729"/>
      <c r="N105" s="731"/>
      <c r="O105" s="731"/>
      <c r="P105" s="778"/>
      <c r="Q105" s="778"/>
      <c r="R105" s="718"/>
      <c r="S105" s="733"/>
      <c r="T105" s="733"/>
      <c r="U105" s="733"/>
      <c r="V105" s="779"/>
      <c r="W105" s="779"/>
      <c r="X105" s="779"/>
      <c r="Y105" s="780"/>
      <c r="Z105" s="780"/>
      <c r="AA105" s="789">
        <v>26</v>
      </c>
      <c r="AB105" s="624" t="s">
        <v>479</v>
      </c>
      <c r="AC105" s="790">
        <v>3</v>
      </c>
      <c r="AD105" s="622">
        <v>3.2</v>
      </c>
      <c r="AE105" s="791">
        <v>11</v>
      </c>
      <c r="AF105" s="622">
        <v>11.5</v>
      </c>
      <c r="AG105" s="622">
        <v>3</v>
      </c>
      <c r="AH105" s="626" t="s">
        <v>448</v>
      </c>
      <c r="AI105" s="626">
        <v>1.2</v>
      </c>
      <c r="AJ105" s="626">
        <v>44</v>
      </c>
      <c r="AK105" s="626">
        <v>1.5</v>
      </c>
      <c r="AL105" s="626">
        <v>4</v>
      </c>
      <c r="AM105" s="626" t="s">
        <v>477</v>
      </c>
      <c r="AN105" s="792">
        <f>$AN$77*$AQ$105+AU105</f>
        <v>31380</v>
      </c>
      <c r="AO105" s="792">
        <f>$AO$77*$AQ$105</f>
        <v>5230</v>
      </c>
      <c r="AP105" s="792">
        <f>$AP$77*$AQ$105</f>
        <v>15690</v>
      </c>
      <c r="AQ105" s="793">
        <v>52300</v>
      </c>
      <c r="AR105" s="1088"/>
      <c r="AS105" s="626" t="s">
        <v>450</v>
      </c>
      <c r="AT105" s="622">
        <f t="shared" ref="AT105" si="9">AG105+0.75</f>
        <v>3.75</v>
      </c>
      <c r="AU105" s="794">
        <v>0</v>
      </c>
      <c r="AV105" s="795">
        <f t="shared" si="0"/>
        <v>52300</v>
      </c>
      <c r="AW105" s="786"/>
      <c r="AX105" s="787"/>
      <c r="AY105" s="788"/>
      <c r="AZ105" s="787"/>
    </row>
    <row r="106" spans="1:72" x14ac:dyDescent="0.25">
      <c r="B106" s="1077"/>
      <c r="C106" s="719"/>
      <c r="D106" s="774"/>
      <c r="E106" s="775"/>
      <c r="F106" s="775"/>
      <c r="G106" s="775"/>
      <c r="H106" s="729"/>
      <c r="I106" s="776"/>
      <c r="J106" s="777"/>
      <c r="K106" s="729"/>
      <c r="L106" s="729"/>
      <c r="M106" s="729"/>
      <c r="N106" s="731"/>
      <c r="O106" s="731"/>
      <c r="P106" s="778"/>
      <c r="Q106" s="778"/>
      <c r="R106" s="718"/>
      <c r="S106" s="733"/>
      <c r="T106" s="733"/>
      <c r="U106" s="733"/>
      <c r="V106" s="779"/>
      <c r="W106" s="779"/>
      <c r="X106" s="779"/>
      <c r="Y106" s="780"/>
      <c r="Z106" s="780"/>
      <c r="AA106" s="789">
        <v>27</v>
      </c>
      <c r="AB106" s="624" t="s">
        <v>480</v>
      </c>
      <c r="AC106" s="790">
        <v>3</v>
      </c>
      <c r="AD106" s="622"/>
      <c r="AE106" s="791">
        <v>11</v>
      </c>
      <c r="AF106" s="622"/>
      <c r="AG106" s="622">
        <v>3.5</v>
      </c>
      <c r="AH106" s="626" t="s">
        <v>448</v>
      </c>
      <c r="AI106" s="626"/>
      <c r="AJ106" s="626"/>
      <c r="AK106" s="626"/>
      <c r="AL106" s="626"/>
      <c r="AM106" s="626"/>
      <c r="AN106" s="792">
        <f>$AN$77*$AQ$106+AU106</f>
        <v>31380</v>
      </c>
      <c r="AO106" s="792">
        <f>$AO$77*$AQ$106</f>
        <v>5230</v>
      </c>
      <c r="AP106" s="792">
        <f>$AP$77*$AQ$106</f>
        <v>15690</v>
      </c>
      <c r="AQ106" s="793">
        <v>52300</v>
      </c>
      <c r="AR106" s="1088"/>
      <c r="AS106" s="626"/>
      <c r="AT106" s="622"/>
      <c r="AU106" s="794">
        <v>0</v>
      </c>
      <c r="AV106" s="795">
        <f t="shared" si="0"/>
        <v>52300</v>
      </c>
      <c r="AW106" s="786"/>
      <c r="AX106" s="787"/>
      <c r="AY106" s="788"/>
      <c r="AZ106" s="787"/>
    </row>
    <row r="107" spans="1:72" x14ac:dyDescent="0.25">
      <c r="B107" s="1077"/>
      <c r="C107" s="719"/>
      <c r="D107" s="774"/>
      <c r="E107" s="775"/>
      <c r="F107" s="775"/>
      <c r="G107" s="775"/>
      <c r="H107" s="729"/>
      <c r="I107" s="776"/>
      <c r="J107" s="777"/>
      <c r="K107" s="729"/>
      <c r="L107" s="729"/>
      <c r="M107" s="729"/>
      <c r="N107" s="731"/>
      <c r="O107" s="731"/>
      <c r="P107" s="778"/>
      <c r="Q107" s="778"/>
      <c r="R107" s="718"/>
      <c r="S107" s="733"/>
      <c r="T107" s="733"/>
      <c r="U107" s="733"/>
      <c r="V107" s="779"/>
      <c r="W107" s="779"/>
      <c r="X107" s="779"/>
      <c r="Y107" s="780"/>
      <c r="Z107" s="780"/>
      <c r="AA107" s="789">
        <v>28</v>
      </c>
      <c r="AB107" s="624" t="s">
        <v>481</v>
      </c>
      <c r="AC107" s="790">
        <v>3</v>
      </c>
      <c r="AD107" s="622">
        <v>3.2</v>
      </c>
      <c r="AE107" s="791">
        <v>11</v>
      </c>
      <c r="AF107" s="622">
        <v>11.5</v>
      </c>
      <c r="AG107" s="622">
        <v>4</v>
      </c>
      <c r="AH107" s="626" t="s">
        <v>448</v>
      </c>
      <c r="AI107" s="626">
        <v>1.2</v>
      </c>
      <c r="AJ107" s="626">
        <v>44</v>
      </c>
      <c r="AK107" s="626">
        <v>1.5</v>
      </c>
      <c r="AL107" s="626">
        <v>5</v>
      </c>
      <c r="AM107" s="626" t="s">
        <v>477</v>
      </c>
      <c r="AN107" s="792">
        <f>$AN$77*$AQ$107+AU107</f>
        <v>31380</v>
      </c>
      <c r="AO107" s="792">
        <f>$AO$77*$AQ$107</f>
        <v>5230</v>
      </c>
      <c r="AP107" s="792">
        <f>$AP$77*$AQ$107</f>
        <v>15690</v>
      </c>
      <c r="AQ107" s="793">
        <v>52300</v>
      </c>
      <c r="AR107" s="1088"/>
      <c r="AS107" s="626" t="s">
        <v>450</v>
      </c>
      <c r="AT107" s="622">
        <f t="shared" ref="AT107:AT109" si="10">AG107+0.75</f>
        <v>4.75</v>
      </c>
      <c r="AU107" s="794">
        <v>0</v>
      </c>
      <c r="AV107" s="795">
        <f t="shared" si="0"/>
        <v>52300</v>
      </c>
      <c r="AW107" s="786"/>
      <c r="AX107" s="787"/>
      <c r="AY107" s="788"/>
      <c r="AZ107" s="787"/>
    </row>
    <row r="108" spans="1:72" x14ac:dyDescent="0.25">
      <c r="B108" s="1077"/>
      <c r="C108" s="719"/>
      <c r="D108" s="774"/>
      <c r="E108" s="775"/>
      <c r="F108" s="775"/>
      <c r="G108" s="775"/>
      <c r="H108" s="729"/>
      <c r="I108" s="776"/>
      <c r="J108" s="777"/>
      <c r="K108" s="729"/>
      <c r="L108" s="729"/>
      <c r="M108" s="729"/>
      <c r="N108" s="731"/>
      <c r="O108" s="731"/>
      <c r="P108" s="778"/>
      <c r="Q108" s="778"/>
      <c r="R108" s="718"/>
      <c r="S108" s="733"/>
      <c r="T108" s="733"/>
      <c r="U108" s="733"/>
      <c r="V108" s="779"/>
      <c r="W108" s="779"/>
      <c r="X108" s="779"/>
      <c r="Y108" s="780"/>
      <c r="Z108" s="780"/>
      <c r="AA108" s="789">
        <v>29</v>
      </c>
      <c r="AB108" s="624" t="s">
        <v>482</v>
      </c>
      <c r="AC108" s="790">
        <v>3</v>
      </c>
      <c r="AD108" s="622">
        <v>3.4</v>
      </c>
      <c r="AE108" s="791">
        <v>12</v>
      </c>
      <c r="AF108" s="622">
        <v>15.5</v>
      </c>
      <c r="AG108" s="622">
        <v>2</v>
      </c>
      <c r="AH108" s="626" t="s">
        <v>448</v>
      </c>
      <c r="AI108" s="626">
        <v>1.65</v>
      </c>
      <c r="AJ108" s="626">
        <v>48.1</v>
      </c>
      <c r="AK108" s="626">
        <v>1.5</v>
      </c>
      <c r="AL108" s="626">
        <v>3</v>
      </c>
      <c r="AM108" s="626" t="s">
        <v>483</v>
      </c>
      <c r="AN108" s="792">
        <f>$AN$77*$AQ$108+AU108</f>
        <v>31380</v>
      </c>
      <c r="AO108" s="792">
        <f>$AO$77*$AQ$108</f>
        <v>5230</v>
      </c>
      <c r="AP108" s="792">
        <f>$AP$77*$AQ$108</f>
        <v>15690</v>
      </c>
      <c r="AQ108" s="793">
        <v>52300</v>
      </c>
      <c r="AR108" s="1088"/>
      <c r="AS108" s="626" t="s">
        <v>450</v>
      </c>
      <c r="AT108" s="622">
        <f t="shared" si="10"/>
        <v>2.75</v>
      </c>
      <c r="AU108" s="794">
        <v>0</v>
      </c>
      <c r="AV108" s="795">
        <f t="shared" si="0"/>
        <v>52300</v>
      </c>
      <c r="AW108" s="786"/>
      <c r="AX108" s="787"/>
      <c r="AY108" s="788"/>
      <c r="AZ108" s="787"/>
    </row>
    <row r="109" spans="1:72" ht="15.75" thickBot="1" x14ac:dyDescent="0.3">
      <c r="B109" s="1077"/>
      <c r="C109" s="719"/>
      <c r="D109" s="774"/>
      <c r="E109" s="775"/>
      <c r="F109" s="775"/>
      <c r="G109" s="775"/>
      <c r="H109" s="729"/>
      <c r="I109" s="776"/>
      <c r="J109" s="777"/>
      <c r="K109" s="729"/>
      <c r="L109" s="729"/>
      <c r="M109" s="729"/>
      <c r="N109" s="731"/>
      <c r="O109" s="731"/>
      <c r="P109" s="778"/>
      <c r="Q109" s="778"/>
      <c r="R109" s="718"/>
      <c r="S109" s="733"/>
      <c r="T109" s="733"/>
      <c r="U109" s="733"/>
      <c r="V109" s="779"/>
      <c r="W109" s="779"/>
      <c r="X109" s="779"/>
      <c r="Y109" s="780"/>
      <c r="Z109" s="780"/>
      <c r="AA109" s="789">
        <v>30</v>
      </c>
      <c r="AB109" s="624" t="s">
        <v>484</v>
      </c>
      <c r="AC109" s="790">
        <v>3</v>
      </c>
      <c r="AD109" s="622">
        <v>3.4</v>
      </c>
      <c r="AE109" s="796">
        <v>13</v>
      </c>
      <c r="AF109" s="622">
        <v>15.5</v>
      </c>
      <c r="AG109" s="622">
        <v>2</v>
      </c>
      <c r="AH109" s="626" t="s">
        <v>448</v>
      </c>
      <c r="AI109" s="626">
        <v>1.65</v>
      </c>
      <c r="AJ109" s="626">
        <v>48.1</v>
      </c>
      <c r="AK109" s="626">
        <v>1.5</v>
      </c>
      <c r="AL109" s="626">
        <v>3</v>
      </c>
      <c r="AM109" s="626" t="s">
        <v>483</v>
      </c>
      <c r="AN109" s="792">
        <f>$AN$77*$AQ$109+AU109</f>
        <v>31380</v>
      </c>
      <c r="AO109" s="792">
        <f>$AO$77*$AQ$109</f>
        <v>5230</v>
      </c>
      <c r="AP109" s="792">
        <f>$AP$77*$AQ$109</f>
        <v>15690</v>
      </c>
      <c r="AQ109" s="793">
        <v>52300</v>
      </c>
      <c r="AR109" s="1088"/>
      <c r="AS109" s="626" t="s">
        <v>450</v>
      </c>
      <c r="AT109" s="622">
        <f t="shared" si="10"/>
        <v>2.75</v>
      </c>
      <c r="AU109" s="794">
        <v>0</v>
      </c>
      <c r="AV109" s="795">
        <f t="shared" si="0"/>
        <v>52300</v>
      </c>
      <c r="AW109" s="786"/>
      <c r="AX109" s="787"/>
      <c r="AY109" s="788"/>
      <c r="AZ109" s="787"/>
    </row>
    <row r="110" spans="1:72" ht="15" customHeight="1" x14ac:dyDescent="0.25">
      <c r="B110" s="1077"/>
      <c r="C110" s="719"/>
      <c r="D110" s="774"/>
      <c r="E110" s="775"/>
      <c r="F110" s="775"/>
      <c r="G110" s="775"/>
      <c r="H110" s="729"/>
      <c r="I110" s="776"/>
      <c r="J110" s="777"/>
      <c r="K110" s="729"/>
      <c r="L110" s="729"/>
      <c r="M110" s="729"/>
      <c r="N110" s="731"/>
      <c r="O110" s="731"/>
      <c r="P110" s="778"/>
      <c r="Q110" s="778"/>
      <c r="R110" s="718"/>
      <c r="S110" s="733"/>
      <c r="T110" s="733"/>
      <c r="U110" s="733"/>
      <c r="V110" s="779"/>
      <c r="W110" s="779"/>
      <c r="X110" s="779"/>
      <c r="Y110" s="780"/>
      <c r="Z110" s="780"/>
      <c r="AA110" s="789">
        <v>31</v>
      </c>
      <c r="AB110" s="624" t="s">
        <v>485</v>
      </c>
      <c r="AC110" s="622">
        <v>3</v>
      </c>
      <c r="AD110" s="622">
        <v>3.2</v>
      </c>
      <c r="AE110" s="791">
        <v>14</v>
      </c>
      <c r="AF110" s="622">
        <v>15.8</v>
      </c>
      <c r="AG110" s="790">
        <v>2</v>
      </c>
      <c r="AH110" s="626" t="s">
        <v>448</v>
      </c>
      <c r="AI110" s="626">
        <v>1.65</v>
      </c>
      <c r="AJ110" s="626">
        <v>46.5</v>
      </c>
      <c r="AK110" s="626">
        <v>2</v>
      </c>
      <c r="AL110" s="622">
        <f t="shared" ref="AL110:AL129" si="11">AG110+1.5</f>
        <v>3.5</v>
      </c>
      <c r="AM110" s="626" t="s">
        <v>486</v>
      </c>
      <c r="AN110" s="792">
        <f>$AN$77*$AQ$110+AU110</f>
        <v>31380</v>
      </c>
      <c r="AO110" s="792">
        <f>$AO$77*$AQ$110</f>
        <v>5230</v>
      </c>
      <c r="AP110" s="792">
        <f>$AP$77*$AQ$110</f>
        <v>15690</v>
      </c>
      <c r="AQ110" s="793">
        <v>52300</v>
      </c>
      <c r="AR110" s="1088"/>
      <c r="AS110" s="626" t="s">
        <v>450</v>
      </c>
      <c r="AT110" s="622">
        <f>AD110+0.75</f>
        <v>3.95</v>
      </c>
      <c r="AU110" s="794">
        <v>0</v>
      </c>
      <c r="AV110" s="795">
        <f t="shared" si="0"/>
        <v>52300</v>
      </c>
      <c r="AW110" s="786"/>
      <c r="AX110" s="1078"/>
      <c r="AY110" s="788"/>
      <c r="AZ110" s="787"/>
    </row>
    <row r="111" spans="1:72" x14ac:dyDescent="0.25">
      <c r="B111" s="1077"/>
      <c r="C111" s="719"/>
      <c r="D111" s="774"/>
      <c r="E111" s="775"/>
      <c r="F111" s="775"/>
      <c r="G111" s="775"/>
      <c r="H111" s="729"/>
      <c r="I111" s="776"/>
      <c r="J111" s="777"/>
      <c r="K111" s="729"/>
      <c r="L111" s="729"/>
      <c r="M111" s="729"/>
      <c r="N111" s="731"/>
      <c r="O111" s="731"/>
      <c r="P111" s="778"/>
      <c r="Q111" s="778"/>
      <c r="R111" s="718"/>
      <c r="S111" s="733"/>
      <c r="T111" s="733"/>
      <c r="U111" s="733"/>
      <c r="V111" s="779"/>
      <c r="W111" s="779"/>
      <c r="X111" s="779"/>
      <c r="Y111" s="780"/>
      <c r="Z111" s="780"/>
      <c r="AA111" s="789">
        <v>32</v>
      </c>
      <c r="AB111" s="624" t="s">
        <v>487</v>
      </c>
      <c r="AC111" s="622">
        <v>3</v>
      </c>
      <c r="AD111" s="622">
        <v>3.1</v>
      </c>
      <c r="AE111" s="791">
        <v>21</v>
      </c>
      <c r="AF111" s="622">
        <v>22</v>
      </c>
      <c r="AG111" s="790">
        <v>2</v>
      </c>
      <c r="AH111" s="626" t="s">
        <v>448</v>
      </c>
      <c r="AI111" s="626">
        <v>3.9</v>
      </c>
      <c r="AJ111" s="626">
        <v>35.1</v>
      </c>
      <c r="AK111" s="626">
        <v>2</v>
      </c>
      <c r="AL111" s="622">
        <f t="shared" si="11"/>
        <v>3.5</v>
      </c>
      <c r="AM111" s="626" t="s">
        <v>488</v>
      </c>
      <c r="AN111" s="792">
        <f>$AN$77*$AQ$111+AU111</f>
        <v>31620</v>
      </c>
      <c r="AO111" s="792">
        <f>$AO$77*$AQ$111</f>
        <v>5270</v>
      </c>
      <c r="AP111" s="792">
        <f>$AP$77*$AQ$111</f>
        <v>15810</v>
      </c>
      <c r="AQ111" s="793">
        <v>52700</v>
      </c>
      <c r="AR111" s="1088"/>
      <c r="AS111" s="626" t="s">
        <v>450</v>
      </c>
      <c r="AT111" s="622">
        <f t="shared" ref="AT111:AT150" si="12">AD111+0.75</f>
        <v>3.85</v>
      </c>
      <c r="AU111" s="794">
        <v>0</v>
      </c>
      <c r="AV111" s="795">
        <f t="shared" si="0"/>
        <v>52700</v>
      </c>
      <c r="AW111" s="786"/>
      <c r="AX111" s="1079"/>
      <c r="AY111" s="788"/>
      <c r="AZ111" s="787"/>
    </row>
    <row r="112" spans="1:72" x14ac:dyDescent="0.25">
      <c r="B112" s="1077"/>
      <c r="C112" s="719"/>
      <c r="D112" s="774"/>
      <c r="E112" s="775"/>
      <c r="F112" s="775"/>
      <c r="G112" s="775"/>
      <c r="H112" s="729"/>
      <c r="I112" s="776"/>
      <c r="J112" s="777"/>
      <c r="K112" s="729"/>
      <c r="L112" s="729"/>
      <c r="M112" s="729"/>
      <c r="N112" s="731"/>
      <c r="O112" s="731"/>
      <c r="P112" s="778"/>
      <c r="Q112" s="778"/>
      <c r="R112" s="718"/>
      <c r="S112" s="733"/>
      <c r="T112" s="733"/>
      <c r="U112" s="733"/>
      <c r="V112" s="779"/>
      <c r="W112" s="779"/>
      <c r="X112" s="779"/>
      <c r="Y112" s="780"/>
      <c r="Z112" s="780"/>
      <c r="AA112" s="789">
        <v>33</v>
      </c>
      <c r="AB112" s="624" t="s">
        <v>489</v>
      </c>
      <c r="AC112" s="622">
        <v>3</v>
      </c>
      <c r="AD112" s="622">
        <v>3</v>
      </c>
      <c r="AE112" s="791">
        <v>25</v>
      </c>
      <c r="AF112" s="622">
        <v>25.2</v>
      </c>
      <c r="AG112" s="790">
        <v>2.5</v>
      </c>
      <c r="AH112" s="626" t="s">
        <v>448</v>
      </c>
      <c r="AI112" s="626">
        <v>3.9</v>
      </c>
      <c r="AJ112" s="626">
        <v>34</v>
      </c>
      <c r="AK112" s="626">
        <v>2</v>
      </c>
      <c r="AL112" s="622">
        <f t="shared" si="11"/>
        <v>4</v>
      </c>
      <c r="AM112" s="626" t="s">
        <v>490</v>
      </c>
      <c r="AN112" s="792">
        <f>$AN$77*$AQ$112+AU112</f>
        <v>31620</v>
      </c>
      <c r="AO112" s="792">
        <f>$AO$77*$AQ$112</f>
        <v>5270</v>
      </c>
      <c r="AP112" s="792">
        <f>$AP$77*$AQ$112</f>
        <v>15810</v>
      </c>
      <c r="AQ112" s="793">
        <v>52700</v>
      </c>
      <c r="AR112" s="1088"/>
      <c r="AS112" s="626" t="s">
        <v>450</v>
      </c>
      <c r="AT112" s="622">
        <f t="shared" si="12"/>
        <v>3.75</v>
      </c>
      <c r="AU112" s="794">
        <v>0</v>
      </c>
      <c r="AV112" s="795">
        <f t="shared" si="0"/>
        <v>52700</v>
      </c>
      <c r="AW112" s="786"/>
      <c r="AX112" s="1079"/>
      <c r="AY112" s="788"/>
      <c r="AZ112" s="787"/>
    </row>
    <row r="113" spans="2:52" x14ac:dyDescent="0.25">
      <c r="B113" s="1077"/>
      <c r="C113" s="719"/>
      <c r="D113" s="774"/>
      <c r="E113" s="775"/>
      <c r="F113" s="775"/>
      <c r="G113" s="775"/>
      <c r="H113" s="729"/>
      <c r="I113" s="776"/>
      <c r="J113" s="777"/>
      <c r="K113" s="729"/>
      <c r="L113" s="729"/>
      <c r="M113" s="729"/>
      <c r="N113" s="731"/>
      <c r="O113" s="731"/>
      <c r="P113" s="778"/>
      <c r="Q113" s="778"/>
      <c r="R113" s="718"/>
      <c r="S113" s="733"/>
      <c r="T113" s="733"/>
      <c r="U113" s="733"/>
      <c r="V113" s="779"/>
      <c r="W113" s="779"/>
      <c r="X113" s="779"/>
      <c r="Y113" s="780"/>
      <c r="Z113" s="780"/>
      <c r="AA113" s="789">
        <v>34</v>
      </c>
      <c r="AB113" s="624" t="s">
        <v>491</v>
      </c>
      <c r="AC113" s="622">
        <v>3.5</v>
      </c>
      <c r="AD113" s="622">
        <v>3.7</v>
      </c>
      <c r="AE113" s="791">
        <v>6</v>
      </c>
      <c r="AF113" s="622">
        <v>6.9</v>
      </c>
      <c r="AG113" s="790">
        <v>3.15</v>
      </c>
      <c r="AH113" s="626" t="s">
        <v>448</v>
      </c>
      <c r="AI113" s="626">
        <v>1.2</v>
      </c>
      <c r="AJ113" s="626">
        <v>42.2</v>
      </c>
      <c r="AK113" s="626">
        <v>2</v>
      </c>
      <c r="AL113" s="622">
        <f t="shared" si="11"/>
        <v>4.6500000000000004</v>
      </c>
      <c r="AM113" s="626" t="s">
        <v>460</v>
      </c>
      <c r="AN113" s="792">
        <f>$AN$77*$AQ$113+AU113</f>
        <v>31620</v>
      </c>
      <c r="AO113" s="792">
        <f>$AO$77*$AQ$113</f>
        <v>5270</v>
      </c>
      <c r="AP113" s="792">
        <f>$AP$77*$AQ$113</f>
        <v>15810</v>
      </c>
      <c r="AQ113" s="793">
        <v>52700</v>
      </c>
      <c r="AR113" s="1088"/>
      <c r="AS113" s="626" t="s">
        <v>450</v>
      </c>
      <c r="AT113" s="622">
        <f t="shared" si="12"/>
        <v>4.45</v>
      </c>
      <c r="AU113" s="794">
        <v>0</v>
      </c>
      <c r="AV113" s="795">
        <f t="shared" si="0"/>
        <v>52700</v>
      </c>
      <c r="AW113" s="786"/>
      <c r="AX113" s="1079"/>
      <c r="AY113" s="788"/>
      <c r="AZ113" s="787"/>
    </row>
    <row r="114" spans="2:52" x14ac:dyDescent="0.25">
      <c r="B114" s="1077"/>
      <c r="C114" s="719"/>
      <c r="D114" s="774"/>
      <c r="E114" s="775"/>
      <c r="F114" s="775"/>
      <c r="G114" s="775"/>
      <c r="H114" s="729"/>
      <c r="I114" s="776"/>
      <c r="J114" s="777"/>
      <c r="K114" s="729"/>
      <c r="L114" s="729"/>
      <c r="M114" s="729"/>
      <c r="N114" s="731"/>
      <c r="O114" s="731"/>
      <c r="P114" s="778"/>
      <c r="Q114" s="778"/>
      <c r="R114" s="718"/>
      <c r="S114" s="733"/>
      <c r="T114" s="733"/>
      <c r="U114" s="733"/>
      <c r="V114" s="779"/>
      <c r="W114" s="779"/>
      <c r="X114" s="779"/>
      <c r="Y114" s="780"/>
      <c r="Z114" s="780"/>
      <c r="AA114" s="789">
        <v>35</v>
      </c>
      <c r="AB114" s="624" t="s">
        <v>492</v>
      </c>
      <c r="AC114" s="622">
        <v>3.5</v>
      </c>
      <c r="AD114" s="622">
        <v>3.7</v>
      </c>
      <c r="AE114" s="791">
        <v>10</v>
      </c>
      <c r="AF114" s="622">
        <v>11</v>
      </c>
      <c r="AG114" s="790">
        <v>2.5</v>
      </c>
      <c r="AH114" s="626" t="s">
        <v>448</v>
      </c>
      <c r="AI114" s="626">
        <v>1.2</v>
      </c>
      <c r="AJ114" s="626">
        <v>46.1</v>
      </c>
      <c r="AK114" s="626">
        <v>2</v>
      </c>
      <c r="AL114" s="622">
        <f t="shared" si="11"/>
        <v>4</v>
      </c>
      <c r="AM114" s="626" t="s">
        <v>477</v>
      </c>
      <c r="AN114" s="792">
        <f>$AN$77*$AQ$114+AU114</f>
        <v>31620</v>
      </c>
      <c r="AO114" s="792">
        <f>$AO$77*$AQ$114</f>
        <v>5270</v>
      </c>
      <c r="AP114" s="792">
        <f>$AP$77*$AQ$114</f>
        <v>15810</v>
      </c>
      <c r="AQ114" s="793">
        <v>52700</v>
      </c>
      <c r="AR114" s="1088"/>
      <c r="AS114" s="626" t="s">
        <v>450</v>
      </c>
      <c r="AT114" s="622">
        <f t="shared" si="12"/>
        <v>4.45</v>
      </c>
      <c r="AU114" s="794">
        <v>0</v>
      </c>
      <c r="AV114" s="795">
        <f t="shared" si="0"/>
        <v>52700</v>
      </c>
      <c r="AW114" s="786"/>
      <c r="AX114" s="1079"/>
      <c r="AY114" s="788"/>
      <c r="AZ114" s="787"/>
    </row>
    <row r="115" spans="2:52" x14ac:dyDescent="0.25">
      <c r="B115" s="1077"/>
      <c r="C115" s="719"/>
      <c r="D115" s="774"/>
      <c r="E115" s="775"/>
      <c r="F115" s="775"/>
      <c r="G115" s="775"/>
      <c r="H115" s="729"/>
      <c r="I115" s="776"/>
      <c r="J115" s="777"/>
      <c r="K115" s="729"/>
      <c r="L115" s="729"/>
      <c r="M115" s="729"/>
      <c r="N115" s="731"/>
      <c r="O115" s="731"/>
      <c r="P115" s="778"/>
      <c r="Q115" s="778"/>
      <c r="R115" s="718"/>
      <c r="S115" s="733"/>
      <c r="T115" s="733"/>
      <c r="U115" s="733"/>
      <c r="V115" s="779"/>
      <c r="W115" s="779"/>
      <c r="X115" s="779"/>
      <c r="Y115" s="780"/>
      <c r="Z115" s="780"/>
      <c r="AA115" s="789">
        <v>36</v>
      </c>
      <c r="AB115" s="624" t="s">
        <v>493</v>
      </c>
      <c r="AC115" s="622">
        <v>3.5</v>
      </c>
      <c r="AD115" s="622">
        <v>3.7</v>
      </c>
      <c r="AE115" s="791">
        <v>12</v>
      </c>
      <c r="AF115" s="622">
        <v>13.6</v>
      </c>
      <c r="AG115" s="790">
        <v>2.1</v>
      </c>
      <c r="AH115" s="626" t="s">
        <v>448</v>
      </c>
      <c r="AI115" s="626">
        <v>2.5</v>
      </c>
      <c r="AJ115" s="626">
        <v>40.5</v>
      </c>
      <c r="AK115" s="626">
        <v>2</v>
      </c>
      <c r="AL115" s="622">
        <f t="shared" si="11"/>
        <v>3.6</v>
      </c>
      <c r="AM115" s="626" t="s">
        <v>494</v>
      </c>
      <c r="AN115" s="792">
        <f>$AN$77*$AQ$115+AU115</f>
        <v>31620</v>
      </c>
      <c r="AO115" s="792">
        <f>$AO$77*$AQ$115</f>
        <v>5270</v>
      </c>
      <c r="AP115" s="792">
        <f>$AP$77*$AQ$115</f>
        <v>15810</v>
      </c>
      <c r="AQ115" s="793">
        <v>52700</v>
      </c>
      <c r="AR115" s="1088"/>
      <c r="AS115" s="626" t="s">
        <v>450</v>
      </c>
      <c r="AT115" s="622">
        <f t="shared" si="12"/>
        <v>4.45</v>
      </c>
      <c r="AU115" s="794">
        <v>0</v>
      </c>
      <c r="AV115" s="795">
        <f t="shared" si="0"/>
        <v>52700</v>
      </c>
      <c r="AW115" s="786"/>
      <c r="AX115" s="1079"/>
      <c r="AY115" s="788"/>
      <c r="AZ115" s="787"/>
    </row>
    <row r="116" spans="2:52" x14ac:dyDescent="0.25">
      <c r="B116" s="1077"/>
      <c r="C116" s="719"/>
      <c r="D116" s="774"/>
      <c r="E116" s="775"/>
      <c r="F116" s="775"/>
      <c r="G116" s="775"/>
      <c r="H116" s="729"/>
      <c r="I116" s="776"/>
      <c r="J116" s="777"/>
      <c r="K116" s="729"/>
      <c r="L116" s="729"/>
      <c r="M116" s="729"/>
      <c r="N116" s="731"/>
      <c r="O116" s="731"/>
      <c r="P116" s="778"/>
      <c r="Q116" s="778"/>
      <c r="R116" s="718"/>
      <c r="S116" s="733"/>
      <c r="T116" s="733"/>
      <c r="U116" s="733"/>
      <c r="V116" s="779"/>
      <c r="W116" s="779"/>
      <c r="X116" s="779"/>
      <c r="Y116" s="780"/>
      <c r="Z116" s="780"/>
      <c r="AA116" s="789">
        <v>37</v>
      </c>
      <c r="AB116" s="624" t="s">
        <v>495</v>
      </c>
      <c r="AC116" s="622">
        <v>3.5</v>
      </c>
      <c r="AD116" s="622">
        <v>3.5</v>
      </c>
      <c r="AE116" s="791">
        <v>15</v>
      </c>
      <c r="AF116" s="622">
        <v>15.4</v>
      </c>
      <c r="AG116" s="790">
        <v>2.2000000000000002</v>
      </c>
      <c r="AH116" s="626" t="s">
        <v>448</v>
      </c>
      <c r="AI116" s="626">
        <v>1.65</v>
      </c>
      <c r="AJ116" s="626">
        <v>48.9</v>
      </c>
      <c r="AK116" s="626">
        <v>2</v>
      </c>
      <c r="AL116" s="622">
        <f t="shared" si="11"/>
        <v>3.7</v>
      </c>
      <c r="AM116" s="626" t="s">
        <v>483</v>
      </c>
      <c r="AN116" s="792">
        <f>$AN$77*$AQ$116+AU116</f>
        <v>31620</v>
      </c>
      <c r="AO116" s="792">
        <f>$AO$77*$AQ$116</f>
        <v>5270</v>
      </c>
      <c r="AP116" s="792">
        <f>$AP$77*$AQ$116</f>
        <v>15810</v>
      </c>
      <c r="AQ116" s="793">
        <v>52700</v>
      </c>
      <c r="AR116" s="1088"/>
      <c r="AS116" s="626" t="s">
        <v>450</v>
      </c>
      <c r="AT116" s="622">
        <f t="shared" si="12"/>
        <v>4.25</v>
      </c>
      <c r="AU116" s="794">
        <v>0</v>
      </c>
      <c r="AV116" s="795">
        <f t="shared" si="0"/>
        <v>52700</v>
      </c>
      <c r="AW116" s="786"/>
      <c r="AX116" s="1079"/>
      <c r="AY116" s="788"/>
      <c r="AZ116" s="787"/>
    </row>
    <row r="117" spans="2:52" x14ac:dyDescent="0.25">
      <c r="B117" s="1077"/>
      <c r="C117" s="719"/>
      <c r="D117" s="774"/>
      <c r="E117" s="775"/>
      <c r="F117" s="775"/>
      <c r="G117" s="775"/>
      <c r="H117" s="729"/>
      <c r="I117" s="776"/>
      <c r="J117" s="777"/>
      <c r="K117" s="729"/>
      <c r="L117" s="729"/>
      <c r="M117" s="729"/>
      <c r="N117" s="731"/>
      <c r="O117" s="731"/>
      <c r="P117" s="778"/>
      <c r="Q117" s="778"/>
      <c r="R117" s="718"/>
      <c r="S117" s="733"/>
      <c r="T117" s="733"/>
      <c r="U117" s="733"/>
      <c r="V117" s="779"/>
      <c r="W117" s="779"/>
      <c r="X117" s="779"/>
      <c r="Y117" s="780"/>
      <c r="Z117" s="780"/>
      <c r="AA117" s="789">
        <v>38</v>
      </c>
      <c r="AB117" s="624" t="s">
        <v>496</v>
      </c>
      <c r="AC117" s="622">
        <v>3.5</v>
      </c>
      <c r="AD117" s="622">
        <v>3.5</v>
      </c>
      <c r="AE117" s="791">
        <v>15</v>
      </c>
      <c r="AF117" s="622">
        <v>15.4</v>
      </c>
      <c r="AG117" s="790">
        <v>3.2</v>
      </c>
      <c r="AH117" s="626" t="s">
        <v>448</v>
      </c>
      <c r="AI117" s="626">
        <v>1.65</v>
      </c>
      <c r="AJ117" s="626">
        <v>48.9</v>
      </c>
      <c r="AK117" s="626">
        <v>2</v>
      </c>
      <c r="AL117" s="622">
        <f t="shared" si="11"/>
        <v>4.7</v>
      </c>
      <c r="AM117" s="626" t="s">
        <v>483</v>
      </c>
      <c r="AN117" s="792">
        <f>$AN$77*$AQ$117+AU117</f>
        <v>31620</v>
      </c>
      <c r="AO117" s="792">
        <f>$AO$77*$AQ$117</f>
        <v>5270</v>
      </c>
      <c r="AP117" s="792">
        <f>$AP$77*$AQ$117</f>
        <v>15810</v>
      </c>
      <c r="AQ117" s="793">
        <v>52700</v>
      </c>
      <c r="AR117" s="1088"/>
      <c r="AS117" s="626" t="s">
        <v>450</v>
      </c>
      <c r="AT117" s="622">
        <f t="shared" si="12"/>
        <v>4.25</v>
      </c>
      <c r="AU117" s="794">
        <v>0</v>
      </c>
      <c r="AV117" s="795">
        <f t="shared" si="0"/>
        <v>52700</v>
      </c>
      <c r="AW117" s="786"/>
      <c r="AX117" s="1079"/>
      <c r="AY117" s="788"/>
      <c r="AZ117" s="787"/>
    </row>
    <row r="118" spans="2:52" x14ac:dyDescent="0.25">
      <c r="B118" s="1077"/>
      <c r="C118" s="719"/>
      <c r="D118" s="774"/>
      <c r="E118" s="775"/>
      <c r="F118" s="775"/>
      <c r="G118" s="775"/>
      <c r="H118" s="729"/>
      <c r="I118" s="776"/>
      <c r="J118" s="777"/>
      <c r="K118" s="729"/>
      <c r="L118" s="729"/>
      <c r="M118" s="729"/>
      <c r="N118" s="731"/>
      <c r="O118" s="731"/>
      <c r="P118" s="778"/>
      <c r="Q118" s="778"/>
      <c r="R118" s="718"/>
      <c r="S118" s="733"/>
      <c r="T118" s="733"/>
      <c r="U118" s="733"/>
      <c r="V118" s="779"/>
      <c r="W118" s="779"/>
      <c r="X118" s="779"/>
      <c r="Y118" s="780"/>
      <c r="Z118" s="780"/>
      <c r="AA118" s="789">
        <v>39</v>
      </c>
      <c r="AB118" s="624" t="s">
        <v>497</v>
      </c>
      <c r="AC118" s="622">
        <v>3.5</v>
      </c>
      <c r="AD118" s="622">
        <v>3.5</v>
      </c>
      <c r="AE118" s="791">
        <v>20</v>
      </c>
      <c r="AF118" s="622">
        <v>19.899999999999999</v>
      </c>
      <c r="AG118" s="790">
        <v>2.4</v>
      </c>
      <c r="AH118" s="626" t="s">
        <v>448</v>
      </c>
      <c r="AI118" s="626">
        <v>2.5</v>
      </c>
      <c r="AJ118" s="626">
        <v>45.4</v>
      </c>
      <c r="AK118" s="626">
        <v>2</v>
      </c>
      <c r="AL118" s="622">
        <f t="shared" si="11"/>
        <v>3.9</v>
      </c>
      <c r="AM118" s="626" t="s">
        <v>498</v>
      </c>
      <c r="AN118" s="792">
        <f>$AN$77*$AQ$118+AU118</f>
        <v>31620</v>
      </c>
      <c r="AO118" s="792">
        <f>$AO$77*$AQ$118</f>
        <v>5270</v>
      </c>
      <c r="AP118" s="792">
        <f>$AP$77*$AQ$118</f>
        <v>15810</v>
      </c>
      <c r="AQ118" s="793">
        <v>52700</v>
      </c>
      <c r="AR118" s="1088"/>
      <c r="AS118" s="626" t="s">
        <v>450</v>
      </c>
      <c r="AT118" s="622">
        <f t="shared" si="12"/>
        <v>4.25</v>
      </c>
      <c r="AU118" s="794">
        <v>0</v>
      </c>
      <c r="AV118" s="795">
        <f t="shared" si="0"/>
        <v>52700</v>
      </c>
      <c r="AW118" s="786"/>
      <c r="AX118" s="1079"/>
      <c r="AY118" s="788"/>
      <c r="AZ118" s="787"/>
    </row>
    <row r="119" spans="2:52" x14ac:dyDescent="0.25">
      <c r="B119" s="1077"/>
      <c r="C119" s="719"/>
      <c r="D119" s="774"/>
      <c r="E119" s="775"/>
      <c r="F119" s="775"/>
      <c r="G119" s="775"/>
      <c r="H119" s="729"/>
      <c r="I119" s="776"/>
      <c r="J119" s="777"/>
      <c r="K119" s="729"/>
      <c r="L119" s="729"/>
      <c r="M119" s="729"/>
      <c r="N119" s="731"/>
      <c r="O119" s="731"/>
      <c r="P119" s="778"/>
      <c r="Q119" s="778"/>
      <c r="R119" s="718"/>
      <c r="S119" s="733"/>
      <c r="T119" s="733"/>
      <c r="U119" s="733"/>
      <c r="V119" s="779"/>
      <c r="W119" s="779"/>
      <c r="X119" s="779"/>
      <c r="Y119" s="780"/>
      <c r="Z119" s="780"/>
      <c r="AA119" s="789">
        <v>40</v>
      </c>
      <c r="AB119" s="624" t="s">
        <v>499</v>
      </c>
      <c r="AC119" s="622">
        <v>4</v>
      </c>
      <c r="AD119" s="622">
        <v>4.2</v>
      </c>
      <c r="AE119" s="791">
        <v>4</v>
      </c>
      <c r="AF119" s="622">
        <v>4.4000000000000004</v>
      </c>
      <c r="AG119" s="790">
        <v>3.2</v>
      </c>
      <c r="AH119" s="626" t="s">
        <v>448</v>
      </c>
      <c r="AI119" s="626">
        <v>1.25</v>
      </c>
      <c r="AJ119" s="626">
        <v>35.6</v>
      </c>
      <c r="AK119" s="626">
        <v>2</v>
      </c>
      <c r="AL119" s="622">
        <f t="shared" si="11"/>
        <v>4.7</v>
      </c>
      <c r="AM119" s="626" t="s">
        <v>453</v>
      </c>
      <c r="AN119" s="792">
        <f>$AN$77*$AQ$119+AU119</f>
        <v>30861.599999999999</v>
      </c>
      <c r="AO119" s="792">
        <f>$AO$77*$AQ$119</f>
        <v>5143.6000000000004</v>
      </c>
      <c r="AP119" s="792">
        <f>$AP$77*$AQ$119</f>
        <v>15430.8</v>
      </c>
      <c r="AQ119" s="793">
        <f>AQ91</f>
        <v>51436</v>
      </c>
      <c r="AR119" s="1088"/>
      <c r="AS119" s="626" t="s">
        <v>450</v>
      </c>
      <c r="AT119" s="622">
        <f t="shared" si="12"/>
        <v>4.95</v>
      </c>
      <c r="AU119" s="794">
        <v>0</v>
      </c>
      <c r="AV119" s="795">
        <f t="shared" si="0"/>
        <v>51436</v>
      </c>
      <c r="AW119" s="786"/>
      <c r="AX119" s="1079"/>
      <c r="AY119" s="788"/>
      <c r="AZ119" s="787"/>
    </row>
    <row r="120" spans="2:52" x14ac:dyDescent="0.25">
      <c r="B120" s="1077"/>
      <c r="C120" s="719"/>
      <c r="D120" s="774"/>
      <c r="E120" s="775"/>
      <c r="F120" s="775"/>
      <c r="G120" s="775"/>
      <c r="H120" s="729"/>
      <c r="I120" s="776"/>
      <c r="J120" s="777"/>
      <c r="K120" s="729"/>
      <c r="L120" s="729"/>
      <c r="M120" s="729"/>
      <c r="N120" s="731"/>
      <c r="O120" s="731"/>
      <c r="P120" s="778"/>
      <c r="Q120" s="778"/>
      <c r="R120" s="718"/>
      <c r="S120" s="733"/>
      <c r="T120" s="733"/>
      <c r="U120" s="733"/>
      <c r="V120" s="779"/>
      <c r="W120" s="779"/>
      <c r="X120" s="779"/>
      <c r="Y120" s="780"/>
      <c r="Z120" s="780"/>
      <c r="AA120" s="789">
        <v>41</v>
      </c>
      <c r="AB120" s="624" t="s">
        <v>500</v>
      </c>
      <c r="AC120" s="622">
        <v>4.0999999999999996</v>
      </c>
      <c r="AD120" s="622">
        <v>4.2</v>
      </c>
      <c r="AE120" s="791">
        <v>6</v>
      </c>
      <c r="AF120" s="622">
        <v>6.4</v>
      </c>
      <c r="AG120" s="790">
        <v>2</v>
      </c>
      <c r="AH120" s="626" t="s">
        <v>448</v>
      </c>
      <c r="AI120" s="626">
        <v>1.2</v>
      </c>
      <c r="AJ120" s="626">
        <v>42.9</v>
      </c>
      <c r="AK120" s="626">
        <v>2</v>
      </c>
      <c r="AL120" s="622">
        <f t="shared" si="11"/>
        <v>3.5</v>
      </c>
      <c r="AM120" s="626" t="s">
        <v>460</v>
      </c>
      <c r="AN120" s="792">
        <f>$AN$77*$AQ$120+AU120</f>
        <v>30861.599999999999</v>
      </c>
      <c r="AO120" s="792">
        <f>$AO$77*$AQ$120</f>
        <v>5143.6000000000004</v>
      </c>
      <c r="AP120" s="792">
        <f>$AP$77*$AQ$120</f>
        <v>15430.8</v>
      </c>
      <c r="AQ120" s="793">
        <f>AQ119</f>
        <v>51436</v>
      </c>
      <c r="AR120" s="1088"/>
      <c r="AS120" s="626" t="s">
        <v>450</v>
      </c>
      <c r="AT120" s="622">
        <f t="shared" si="12"/>
        <v>4.95</v>
      </c>
      <c r="AU120" s="794">
        <v>0</v>
      </c>
      <c r="AV120" s="795">
        <f t="shared" si="0"/>
        <v>51436</v>
      </c>
      <c r="AW120" s="786"/>
      <c r="AX120" s="1079"/>
      <c r="AY120" s="788"/>
      <c r="AZ120" s="787"/>
    </row>
    <row r="121" spans="2:52" x14ac:dyDescent="0.25">
      <c r="B121" s="1077"/>
      <c r="C121" s="719"/>
      <c r="D121" s="774"/>
      <c r="E121" s="775"/>
      <c r="F121" s="775"/>
      <c r="G121" s="775"/>
      <c r="H121" s="729"/>
      <c r="I121" s="776"/>
      <c r="J121" s="777"/>
      <c r="K121" s="729"/>
      <c r="L121" s="729"/>
      <c r="M121" s="729"/>
      <c r="N121" s="731"/>
      <c r="O121" s="731"/>
      <c r="P121" s="778"/>
      <c r="Q121" s="778"/>
      <c r="R121" s="718"/>
      <c r="S121" s="733"/>
      <c r="T121" s="733"/>
      <c r="U121" s="733"/>
      <c r="V121" s="779"/>
      <c r="W121" s="779"/>
      <c r="X121" s="779"/>
      <c r="Y121" s="780"/>
      <c r="Z121" s="780"/>
      <c r="AA121" s="789">
        <v>42</v>
      </c>
      <c r="AB121" s="624" t="s">
        <v>501</v>
      </c>
      <c r="AC121" s="622">
        <v>4.1900000000000004</v>
      </c>
      <c r="AD121" s="622">
        <v>4.5999999999999996</v>
      </c>
      <c r="AE121" s="791">
        <v>7</v>
      </c>
      <c r="AF121" s="622">
        <v>8.6</v>
      </c>
      <c r="AG121" s="790">
        <v>2.9</v>
      </c>
      <c r="AH121" s="626" t="s">
        <v>448</v>
      </c>
      <c r="AI121" s="626">
        <v>1.2</v>
      </c>
      <c r="AJ121" s="626">
        <v>41</v>
      </c>
      <c r="AK121" s="626">
        <v>2</v>
      </c>
      <c r="AL121" s="622">
        <f t="shared" si="11"/>
        <v>4.4000000000000004</v>
      </c>
      <c r="AM121" s="626" t="s">
        <v>466</v>
      </c>
      <c r="AN121" s="792">
        <f>$AN$77*$AQ$121+AU121</f>
        <v>30861.599999999999</v>
      </c>
      <c r="AO121" s="792">
        <f>$AO$77*$AQ$121</f>
        <v>5143.6000000000004</v>
      </c>
      <c r="AP121" s="792">
        <f>$AP$77*$AQ$121</f>
        <v>15430.8</v>
      </c>
      <c r="AQ121" s="793">
        <f>AQ120</f>
        <v>51436</v>
      </c>
      <c r="AR121" s="1088"/>
      <c r="AS121" s="626" t="s">
        <v>450</v>
      </c>
      <c r="AT121" s="622">
        <f t="shared" si="12"/>
        <v>5.35</v>
      </c>
      <c r="AU121" s="794">
        <v>0</v>
      </c>
      <c r="AV121" s="795">
        <f t="shared" si="0"/>
        <v>51436</v>
      </c>
      <c r="AW121" s="786"/>
      <c r="AX121" s="1079"/>
      <c r="AY121" s="788"/>
      <c r="AZ121" s="787"/>
    </row>
    <row r="122" spans="2:52" x14ac:dyDescent="0.25">
      <c r="B122" s="1077"/>
      <c r="C122" s="719"/>
      <c r="D122" s="774"/>
      <c r="E122" s="775"/>
      <c r="F122" s="775"/>
      <c r="G122" s="775"/>
      <c r="H122" s="729"/>
      <c r="I122" s="776"/>
      <c r="J122" s="777"/>
      <c r="K122" s="729"/>
      <c r="L122" s="729"/>
      <c r="M122" s="729"/>
      <c r="N122" s="731"/>
      <c r="O122" s="731"/>
      <c r="P122" s="778"/>
      <c r="Q122" s="778"/>
      <c r="R122" s="718"/>
      <c r="S122" s="733"/>
      <c r="T122" s="733"/>
      <c r="U122" s="733"/>
      <c r="V122" s="779"/>
      <c r="W122" s="779"/>
      <c r="X122" s="779"/>
      <c r="Y122" s="780"/>
      <c r="Z122" s="780"/>
      <c r="AA122" s="789">
        <v>43</v>
      </c>
      <c r="AB122" s="624" t="s">
        <v>502</v>
      </c>
      <c r="AC122" s="622">
        <v>4.5</v>
      </c>
      <c r="AD122" s="622">
        <v>4.5</v>
      </c>
      <c r="AE122" s="791">
        <v>15</v>
      </c>
      <c r="AF122" s="622">
        <v>15.2</v>
      </c>
      <c r="AG122" s="790">
        <v>2.27</v>
      </c>
      <c r="AH122" s="626" t="s">
        <v>448</v>
      </c>
      <c r="AI122" s="626">
        <v>2.5</v>
      </c>
      <c r="AJ122" s="626">
        <v>41.3</v>
      </c>
      <c r="AK122" s="626">
        <v>2</v>
      </c>
      <c r="AL122" s="622">
        <f t="shared" si="11"/>
        <v>3.77</v>
      </c>
      <c r="AM122" s="626" t="s">
        <v>503</v>
      </c>
      <c r="AN122" s="792">
        <f>$AN$77*$AQ$122+AU122</f>
        <v>31620</v>
      </c>
      <c r="AO122" s="792">
        <f>$AO$77*$AQ$122</f>
        <v>5270</v>
      </c>
      <c r="AP122" s="792">
        <f>$AP$77*$AQ$122</f>
        <v>15810</v>
      </c>
      <c r="AQ122" s="793">
        <v>52700</v>
      </c>
      <c r="AR122" s="1088"/>
      <c r="AS122" s="626" t="s">
        <v>450</v>
      </c>
      <c r="AT122" s="622">
        <f t="shared" si="12"/>
        <v>5.25</v>
      </c>
      <c r="AU122" s="794">
        <v>0</v>
      </c>
      <c r="AV122" s="795">
        <f t="shared" si="0"/>
        <v>52700</v>
      </c>
      <c r="AW122" s="786"/>
      <c r="AX122" s="1079"/>
      <c r="AY122" s="788"/>
      <c r="AZ122" s="787"/>
    </row>
    <row r="123" spans="2:52" x14ac:dyDescent="0.25">
      <c r="B123" s="1077"/>
      <c r="C123" s="719"/>
      <c r="D123" s="774"/>
      <c r="E123" s="775"/>
      <c r="F123" s="775"/>
      <c r="G123" s="775"/>
      <c r="H123" s="729"/>
      <c r="I123" s="776"/>
      <c r="J123" s="777"/>
      <c r="K123" s="729"/>
      <c r="L123" s="729"/>
      <c r="M123" s="729"/>
      <c r="N123" s="731"/>
      <c r="O123" s="731"/>
      <c r="P123" s="778"/>
      <c r="Q123" s="778"/>
      <c r="R123" s="718"/>
      <c r="S123" s="733"/>
      <c r="T123" s="733"/>
      <c r="U123" s="733"/>
      <c r="V123" s="779"/>
      <c r="W123" s="779"/>
      <c r="X123" s="779"/>
      <c r="Y123" s="780"/>
      <c r="Z123" s="780"/>
      <c r="AA123" s="789">
        <v>44</v>
      </c>
      <c r="AB123" s="624" t="s">
        <v>504</v>
      </c>
      <c r="AC123" s="622">
        <v>4.5</v>
      </c>
      <c r="AD123" s="622">
        <v>4.5999999999999996</v>
      </c>
      <c r="AE123" s="791">
        <v>20</v>
      </c>
      <c r="AF123" s="622">
        <v>21</v>
      </c>
      <c r="AG123" s="790">
        <v>3.05</v>
      </c>
      <c r="AH123" s="626" t="s">
        <v>448</v>
      </c>
      <c r="AI123" s="626">
        <v>2.5</v>
      </c>
      <c r="AJ123" s="626">
        <v>52.7</v>
      </c>
      <c r="AK123" s="626">
        <v>2</v>
      </c>
      <c r="AL123" s="622">
        <f t="shared" si="11"/>
        <v>4.55</v>
      </c>
      <c r="AM123" s="626" t="s">
        <v>505</v>
      </c>
      <c r="AN123" s="792">
        <f>$AN$77*$AQ$123+AU123</f>
        <v>32340</v>
      </c>
      <c r="AO123" s="792">
        <f>$AO$77*$AQ$123</f>
        <v>5390</v>
      </c>
      <c r="AP123" s="792">
        <f>$AP$77*$AQ$123</f>
        <v>16170</v>
      </c>
      <c r="AQ123" s="793">
        <v>53900</v>
      </c>
      <c r="AR123" s="1088"/>
      <c r="AS123" s="626" t="s">
        <v>450</v>
      </c>
      <c r="AT123" s="622">
        <f t="shared" si="12"/>
        <v>5.35</v>
      </c>
      <c r="AU123" s="794">
        <v>0</v>
      </c>
      <c r="AV123" s="795">
        <f t="shared" si="0"/>
        <v>53900</v>
      </c>
      <c r="AW123" s="786"/>
      <c r="AX123" s="1079"/>
      <c r="AY123" s="788"/>
      <c r="AZ123" s="787"/>
    </row>
    <row r="124" spans="2:52" x14ac:dyDescent="0.25">
      <c r="B124" s="1077"/>
      <c r="C124" s="719"/>
      <c r="D124" s="774"/>
      <c r="E124" s="775"/>
      <c r="F124" s="775"/>
      <c r="G124" s="775"/>
      <c r="H124" s="729"/>
      <c r="I124" s="776"/>
      <c r="J124" s="777"/>
      <c r="K124" s="729"/>
      <c r="L124" s="729"/>
      <c r="M124" s="729"/>
      <c r="N124" s="731"/>
      <c r="O124" s="731"/>
      <c r="P124" s="778"/>
      <c r="Q124" s="778"/>
      <c r="R124" s="718"/>
      <c r="S124" s="733"/>
      <c r="T124" s="733"/>
      <c r="U124" s="733"/>
      <c r="V124" s="779"/>
      <c r="W124" s="779"/>
      <c r="X124" s="779"/>
      <c r="Y124" s="780"/>
      <c r="Z124" s="780"/>
      <c r="AA124" s="789">
        <v>45</v>
      </c>
      <c r="AB124" s="624" t="s">
        <v>506</v>
      </c>
      <c r="AC124" s="622">
        <v>4.8</v>
      </c>
      <c r="AD124" s="622">
        <v>5.4</v>
      </c>
      <c r="AE124" s="791">
        <v>7</v>
      </c>
      <c r="AF124" s="622">
        <v>8.9</v>
      </c>
      <c r="AG124" s="790">
        <v>2.3199999999999998</v>
      </c>
      <c r="AH124" s="626" t="s">
        <v>448</v>
      </c>
      <c r="AI124" s="626">
        <v>1.2</v>
      </c>
      <c r="AJ124" s="626">
        <v>49.2</v>
      </c>
      <c r="AK124" s="626">
        <v>2</v>
      </c>
      <c r="AL124" s="622">
        <f t="shared" si="11"/>
        <v>3.82</v>
      </c>
      <c r="AM124" s="626" t="s">
        <v>477</v>
      </c>
      <c r="AN124" s="792">
        <f>$AN$77*$AQ$124+AU124</f>
        <v>30861.599999999999</v>
      </c>
      <c r="AO124" s="792">
        <f>$AO$77*$AQ$124</f>
        <v>5143.6000000000004</v>
      </c>
      <c r="AP124" s="792">
        <f>$AP$77*$AQ$124</f>
        <v>15430.8</v>
      </c>
      <c r="AQ124" s="793">
        <f>AQ121</f>
        <v>51436</v>
      </c>
      <c r="AR124" s="1088"/>
      <c r="AS124" s="626" t="s">
        <v>450</v>
      </c>
      <c r="AT124" s="622">
        <f t="shared" si="12"/>
        <v>6.15</v>
      </c>
      <c r="AU124" s="794">
        <v>0</v>
      </c>
      <c r="AV124" s="795">
        <f t="shared" si="0"/>
        <v>51436</v>
      </c>
      <c r="AW124" s="786"/>
      <c r="AX124" s="1079"/>
      <c r="AY124" s="788"/>
      <c r="AZ124" s="787"/>
    </row>
    <row r="125" spans="2:52" x14ac:dyDescent="0.25">
      <c r="B125" s="1077"/>
      <c r="C125" s="719"/>
      <c r="D125" s="774"/>
      <c r="E125" s="775"/>
      <c r="F125" s="775"/>
      <c r="G125" s="775"/>
      <c r="H125" s="729"/>
      <c r="I125" s="776"/>
      <c r="J125" s="777"/>
      <c r="K125" s="729"/>
      <c r="L125" s="729"/>
      <c r="M125" s="729"/>
      <c r="N125" s="731"/>
      <c r="O125" s="731"/>
      <c r="P125" s="778"/>
      <c r="Q125" s="778"/>
      <c r="R125" s="718"/>
      <c r="S125" s="733"/>
      <c r="T125" s="733"/>
      <c r="U125" s="733"/>
      <c r="V125" s="779"/>
      <c r="W125" s="779"/>
      <c r="X125" s="779"/>
      <c r="Y125" s="780"/>
      <c r="Z125" s="780"/>
      <c r="AA125" s="789">
        <v>46</v>
      </c>
      <c r="AB125" s="624" t="s">
        <v>507</v>
      </c>
      <c r="AC125" s="622">
        <v>5.42</v>
      </c>
      <c r="AD125" s="622">
        <v>5.6</v>
      </c>
      <c r="AE125" s="791">
        <v>12</v>
      </c>
      <c r="AF125" s="622">
        <v>12.9</v>
      </c>
      <c r="AG125" s="790">
        <v>2.48</v>
      </c>
      <c r="AH125" s="626" t="s">
        <v>448</v>
      </c>
      <c r="AI125" s="626">
        <v>1.65</v>
      </c>
      <c r="AJ125" s="626">
        <v>56.2</v>
      </c>
      <c r="AK125" s="626">
        <v>2</v>
      </c>
      <c r="AL125" s="622">
        <f t="shared" si="11"/>
        <v>3.98</v>
      </c>
      <c r="AM125" s="626" t="s">
        <v>483</v>
      </c>
      <c r="AN125" s="792">
        <f>$AN$77*$AQ$125+AU125</f>
        <v>32340</v>
      </c>
      <c r="AO125" s="792">
        <f>$AO$77*$AQ$125</f>
        <v>5390</v>
      </c>
      <c r="AP125" s="792">
        <f>$AP$77*$AQ$125</f>
        <v>16170</v>
      </c>
      <c r="AQ125" s="793">
        <f>AQ123</f>
        <v>53900</v>
      </c>
      <c r="AR125" s="1088"/>
      <c r="AS125" s="626" t="s">
        <v>450</v>
      </c>
      <c r="AT125" s="622">
        <f t="shared" si="12"/>
        <v>6.35</v>
      </c>
      <c r="AU125" s="794">
        <v>0</v>
      </c>
      <c r="AV125" s="795">
        <f t="shared" si="0"/>
        <v>53900</v>
      </c>
      <c r="AW125" s="786"/>
      <c r="AX125" s="1079"/>
      <c r="AY125" s="788"/>
      <c r="AZ125" s="787"/>
    </row>
    <row r="126" spans="2:52" x14ac:dyDescent="0.25">
      <c r="B126" s="1077"/>
      <c r="C126" s="719"/>
      <c r="D126" s="774"/>
      <c r="E126" s="775"/>
      <c r="F126" s="775"/>
      <c r="G126" s="775"/>
      <c r="H126" s="729"/>
      <c r="I126" s="776"/>
      <c r="J126" s="777"/>
      <c r="K126" s="729"/>
      <c r="L126" s="729"/>
      <c r="M126" s="729"/>
      <c r="N126" s="731"/>
      <c r="O126" s="731"/>
      <c r="P126" s="778"/>
      <c r="Q126" s="778"/>
      <c r="R126" s="718"/>
      <c r="S126" s="733"/>
      <c r="T126" s="733"/>
      <c r="U126" s="733"/>
      <c r="V126" s="779"/>
      <c r="W126" s="779"/>
      <c r="X126" s="779"/>
      <c r="Y126" s="780"/>
      <c r="Z126" s="780"/>
      <c r="AA126" s="789">
        <v>47</v>
      </c>
      <c r="AB126" s="624" t="s">
        <v>508</v>
      </c>
      <c r="AC126" s="622">
        <v>5.6</v>
      </c>
      <c r="AD126" s="622">
        <v>6</v>
      </c>
      <c r="AE126" s="791">
        <v>7</v>
      </c>
      <c r="AF126" s="622">
        <v>8.1999999999999993</v>
      </c>
      <c r="AG126" s="790">
        <v>2.2799999999999998</v>
      </c>
      <c r="AH126" s="626" t="s">
        <v>448</v>
      </c>
      <c r="AI126" s="626">
        <v>1.2</v>
      </c>
      <c r="AJ126" s="626">
        <v>48.9</v>
      </c>
      <c r="AK126" s="626">
        <v>2</v>
      </c>
      <c r="AL126" s="622">
        <f t="shared" si="11"/>
        <v>3.78</v>
      </c>
      <c r="AM126" s="626" t="s">
        <v>477</v>
      </c>
      <c r="AN126" s="792">
        <f>$AN$77*$AQ$126+AU126</f>
        <v>30861.599999999999</v>
      </c>
      <c r="AO126" s="792">
        <f>$AO$77*$AQ$126</f>
        <v>5143.6000000000004</v>
      </c>
      <c r="AP126" s="792">
        <f>$AP$77*$AQ$126</f>
        <v>15430.8</v>
      </c>
      <c r="AQ126" s="793">
        <f>AQ124</f>
        <v>51436</v>
      </c>
      <c r="AR126" s="1088"/>
      <c r="AS126" s="626" t="s">
        <v>450</v>
      </c>
      <c r="AT126" s="622">
        <f t="shared" si="12"/>
        <v>6.75</v>
      </c>
      <c r="AU126" s="794">
        <v>0</v>
      </c>
      <c r="AV126" s="795">
        <f t="shared" si="0"/>
        <v>51436</v>
      </c>
      <c r="AW126" s="786"/>
      <c r="AX126" s="1079"/>
      <c r="AY126" s="788"/>
      <c r="AZ126" s="787"/>
    </row>
    <row r="127" spans="2:52" x14ac:dyDescent="0.25">
      <c r="B127" s="1077"/>
      <c r="C127" s="719"/>
      <c r="D127" s="774"/>
      <c r="E127" s="775"/>
      <c r="F127" s="775"/>
      <c r="G127" s="775"/>
      <c r="H127" s="729"/>
      <c r="I127" s="776"/>
      <c r="J127" s="777"/>
      <c r="K127" s="729"/>
      <c r="L127" s="729"/>
      <c r="M127" s="729"/>
      <c r="N127" s="731"/>
      <c r="O127" s="731"/>
      <c r="P127" s="778"/>
      <c r="Q127" s="778"/>
      <c r="R127" s="718"/>
      <c r="S127" s="733"/>
      <c r="T127" s="733"/>
      <c r="U127" s="733"/>
      <c r="V127" s="779"/>
      <c r="W127" s="779"/>
      <c r="X127" s="779"/>
      <c r="Y127" s="780"/>
      <c r="Z127" s="780"/>
      <c r="AA127" s="789">
        <v>48</v>
      </c>
      <c r="AB127" s="624" t="s">
        <v>509</v>
      </c>
      <c r="AC127" s="622">
        <v>6.55</v>
      </c>
      <c r="AD127" s="622">
        <v>6.8</v>
      </c>
      <c r="AE127" s="791">
        <v>17</v>
      </c>
      <c r="AF127" s="622">
        <v>18.100000000000001</v>
      </c>
      <c r="AG127" s="790">
        <v>2</v>
      </c>
      <c r="AH127" s="626" t="s">
        <v>448</v>
      </c>
      <c r="AI127" s="626">
        <v>2.5</v>
      </c>
      <c r="AJ127" s="626">
        <v>58.7</v>
      </c>
      <c r="AK127" s="626">
        <v>2</v>
      </c>
      <c r="AL127" s="622">
        <f t="shared" si="11"/>
        <v>3.5</v>
      </c>
      <c r="AM127" s="626" t="s">
        <v>505</v>
      </c>
      <c r="AN127" s="792">
        <f>$AN$77*$AQ$127+AU127</f>
        <v>32340</v>
      </c>
      <c r="AO127" s="792">
        <f>$AO$77*$AQ$127</f>
        <v>5390</v>
      </c>
      <c r="AP127" s="792">
        <f>$AP$77*$AQ$127</f>
        <v>16170</v>
      </c>
      <c r="AQ127" s="793">
        <f>AQ125</f>
        <v>53900</v>
      </c>
      <c r="AR127" s="1088"/>
      <c r="AS127" s="626" t="s">
        <v>450</v>
      </c>
      <c r="AT127" s="622">
        <f t="shared" si="12"/>
        <v>7.55</v>
      </c>
      <c r="AU127" s="794">
        <v>0</v>
      </c>
      <c r="AV127" s="795">
        <f t="shared" si="0"/>
        <v>53900</v>
      </c>
      <c r="AW127" s="786"/>
      <c r="AX127" s="1079"/>
      <c r="AY127" s="788"/>
      <c r="AZ127" s="787"/>
    </row>
    <row r="128" spans="2:52" x14ac:dyDescent="0.25">
      <c r="B128" s="1077"/>
      <c r="C128" s="719"/>
      <c r="D128" s="774"/>
      <c r="E128" s="775"/>
      <c r="F128" s="775"/>
      <c r="G128" s="775"/>
      <c r="H128" s="729"/>
      <c r="I128" s="776"/>
      <c r="J128" s="777"/>
      <c r="K128" s="729"/>
      <c r="L128" s="729"/>
      <c r="M128" s="729"/>
      <c r="N128" s="731"/>
      <c r="O128" s="731"/>
      <c r="P128" s="778"/>
      <c r="Q128" s="778"/>
      <c r="R128" s="718"/>
      <c r="S128" s="733"/>
      <c r="T128" s="733"/>
      <c r="U128" s="733"/>
      <c r="V128" s="779"/>
      <c r="W128" s="779"/>
      <c r="X128" s="779"/>
      <c r="Y128" s="780"/>
      <c r="Z128" s="780"/>
      <c r="AA128" s="789">
        <v>49</v>
      </c>
      <c r="AB128" s="624" t="s">
        <v>510</v>
      </c>
      <c r="AC128" s="622">
        <v>6.57</v>
      </c>
      <c r="AD128" s="622">
        <v>6.7</v>
      </c>
      <c r="AE128" s="791">
        <v>30</v>
      </c>
      <c r="AF128" s="622">
        <v>31.6</v>
      </c>
      <c r="AG128" s="790">
        <v>1.65</v>
      </c>
      <c r="AH128" s="626" t="s">
        <v>448</v>
      </c>
      <c r="AI128" s="626">
        <v>11.5</v>
      </c>
      <c r="AJ128" s="626">
        <v>30.9</v>
      </c>
      <c r="AK128" s="626">
        <v>2</v>
      </c>
      <c r="AL128" s="622">
        <f t="shared" si="11"/>
        <v>3.15</v>
      </c>
      <c r="AM128" s="626" t="s">
        <v>511</v>
      </c>
      <c r="AN128" s="792">
        <f>$AN$77*$AQ$128+AU128</f>
        <v>32340</v>
      </c>
      <c r="AO128" s="792">
        <f>$AO$77*$AQ$128</f>
        <v>5390</v>
      </c>
      <c r="AP128" s="792">
        <f>$AP$77*$AQ$128</f>
        <v>16170</v>
      </c>
      <c r="AQ128" s="793">
        <f>AQ127</f>
        <v>53900</v>
      </c>
      <c r="AR128" s="1088"/>
      <c r="AS128" s="626" t="s">
        <v>450</v>
      </c>
      <c r="AT128" s="622">
        <f t="shared" si="12"/>
        <v>7.45</v>
      </c>
      <c r="AU128" s="794">
        <v>0</v>
      </c>
      <c r="AV128" s="795">
        <f t="shared" si="0"/>
        <v>53900</v>
      </c>
      <c r="AW128" s="786"/>
      <c r="AX128" s="1079"/>
      <c r="AY128" s="788"/>
      <c r="AZ128" s="787"/>
    </row>
    <row r="129" spans="2:52" ht="15.75" thickBot="1" x14ac:dyDescent="0.3">
      <c r="B129" s="1077"/>
      <c r="C129" s="719"/>
      <c r="D129" s="774"/>
      <c r="E129" s="775"/>
      <c r="F129" s="775"/>
      <c r="G129" s="775"/>
      <c r="H129" s="729"/>
      <c r="I129" s="776"/>
      <c r="J129" s="777"/>
      <c r="K129" s="729"/>
      <c r="L129" s="729"/>
      <c r="M129" s="729"/>
      <c r="N129" s="731"/>
      <c r="O129" s="731"/>
      <c r="P129" s="778"/>
      <c r="Q129" s="778"/>
      <c r="R129" s="718"/>
      <c r="S129" s="733"/>
      <c r="T129" s="733"/>
      <c r="U129" s="733"/>
      <c r="V129" s="779"/>
      <c r="W129" s="779"/>
      <c r="X129" s="779"/>
      <c r="Y129" s="780"/>
      <c r="Z129" s="780"/>
      <c r="AA129" s="789">
        <v>50</v>
      </c>
      <c r="AB129" s="624" t="s">
        <v>512</v>
      </c>
      <c r="AC129" s="622">
        <v>6.85</v>
      </c>
      <c r="AD129" s="622">
        <v>7</v>
      </c>
      <c r="AE129" s="791">
        <v>23</v>
      </c>
      <c r="AF129" s="622">
        <v>23.9</v>
      </c>
      <c r="AG129" s="790">
        <v>2</v>
      </c>
      <c r="AH129" s="626" t="s">
        <v>448</v>
      </c>
      <c r="AI129" s="624">
        <v>6.6</v>
      </c>
      <c r="AJ129" s="624">
        <v>43</v>
      </c>
      <c r="AK129" s="626">
        <v>2</v>
      </c>
      <c r="AL129" s="622">
        <f t="shared" si="11"/>
        <v>3.5</v>
      </c>
      <c r="AM129" s="624" t="s">
        <v>513</v>
      </c>
      <c r="AN129" s="792">
        <f>$AN$77*$AQ$129+AU129</f>
        <v>32340</v>
      </c>
      <c r="AO129" s="792">
        <f>$AO$77*$AQ$129</f>
        <v>5390</v>
      </c>
      <c r="AP129" s="792">
        <f>$AP$77*$AQ$129</f>
        <v>16170</v>
      </c>
      <c r="AQ129" s="793">
        <f t="shared" ref="AQ129" si="13">AQ127</f>
        <v>53900</v>
      </c>
      <c r="AR129" s="1088"/>
      <c r="AS129" s="626" t="s">
        <v>450</v>
      </c>
      <c r="AT129" s="622">
        <f t="shared" si="12"/>
        <v>7.75</v>
      </c>
      <c r="AU129" s="794">
        <v>0</v>
      </c>
      <c r="AV129" s="795">
        <f t="shared" si="0"/>
        <v>53900</v>
      </c>
      <c r="AW129" s="786"/>
      <c r="AX129" s="1080"/>
      <c r="AY129" s="788"/>
      <c r="AZ129" s="787"/>
    </row>
    <row r="130" spans="2:52" ht="60.75" x14ac:dyDescent="0.25">
      <c r="B130" s="1077"/>
      <c r="C130" s="719"/>
      <c r="D130" s="774"/>
      <c r="E130" s="775"/>
      <c r="F130" s="775"/>
      <c r="G130" s="775"/>
      <c r="H130" s="729"/>
      <c r="I130" s="776"/>
      <c r="J130" s="777"/>
      <c r="K130" s="729"/>
      <c r="L130" s="729"/>
      <c r="M130" s="729"/>
      <c r="N130" s="731"/>
      <c r="O130" s="731"/>
      <c r="P130" s="778"/>
      <c r="Q130" s="778"/>
      <c r="R130" s="718"/>
      <c r="S130" s="733"/>
      <c r="T130" s="733"/>
      <c r="U130" s="733"/>
      <c r="V130" s="779"/>
      <c r="W130" s="779"/>
      <c r="X130" s="779"/>
      <c r="Y130" s="780"/>
      <c r="Z130" s="780"/>
      <c r="AA130" s="789">
        <v>51</v>
      </c>
      <c r="AB130" s="624" t="s">
        <v>514</v>
      </c>
      <c r="AC130" s="622">
        <v>8.35</v>
      </c>
      <c r="AD130" s="622">
        <v>8.4</v>
      </c>
      <c r="AE130" s="791">
        <v>14</v>
      </c>
      <c r="AF130" s="622">
        <v>14.1</v>
      </c>
      <c r="AG130" s="790">
        <v>2.58</v>
      </c>
      <c r="AH130" s="626" t="s">
        <v>448</v>
      </c>
      <c r="AI130" s="624">
        <v>4</v>
      </c>
      <c r="AJ130" s="624">
        <v>57</v>
      </c>
      <c r="AK130" s="626">
        <v>2</v>
      </c>
      <c r="AL130" s="622">
        <f t="shared" ref="AL130:AL146" si="14">AG130+1.7</f>
        <v>4.28</v>
      </c>
      <c r="AM130" s="797" t="s">
        <v>515</v>
      </c>
      <c r="AN130" s="792">
        <f>$AN$77*$AQ$130+AU130</f>
        <v>32502</v>
      </c>
      <c r="AO130" s="792">
        <f>$AO$77*$AQ$130</f>
        <v>5417</v>
      </c>
      <c r="AP130" s="792">
        <f>$AP$77*$AQ$130</f>
        <v>16251</v>
      </c>
      <c r="AQ130" s="793">
        <v>54170</v>
      </c>
      <c r="AR130" s="1088"/>
      <c r="AS130" s="626" t="s">
        <v>450</v>
      </c>
      <c r="AT130" s="622">
        <f t="shared" si="12"/>
        <v>9.15</v>
      </c>
      <c r="AU130" s="794">
        <v>0</v>
      </c>
      <c r="AV130" s="795">
        <f t="shared" si="0"/>
        <v>54170</v>
      </c>
      <c r="AW130" s="786"/>
      <c r="AX130" s="1081"/>
      <c r="AY130" s="788"/>
      <c r="AZ130" s="787"/>
    </row>
    <row r="131" spans="2:52" x14ac:dyDescent="0.25">
      <c r="B131" s="1077"/>
      <c r="C131" s="719"/>
      <c r="D131" s="774"/>
      <c r="E131" s="775"/>
      <c r="F131" s="775"/>
      <c r="G131" s="775"/>
      <c r="H131" s="729"/>
      <c r="I131" s="776"/>
      <c r="J131" s="777"/>
      <c r="K131" s="729"/>
      <c r="L131" s="729"/>
      <c r="M131" s="729"/>
      <c r="N131" s="731"/>
      <c r="O131" s="731"/>
      <c r="P131" s="778"/>
      <c r="Q131" s="778"/>
      <c r="R131" s="718"/>
      <c r="S131" s="733"/>
      <c r="T131" s="733"/>
      <c r="U131" s="733"/>
      <c r="V131" s="779"/>
      <c r="W131" s="779"/>
      <c r="X131" s="779"/>
      <c r="Y131" s="780"/>
      <c r="Z131" s="780"/>
      <c r="AA131" s="789">
        <v>52</v>
      </c>
      <c r="AB131" s="624" t="s">
        <v>516</v>
      </c>
      <c r="AC131" s="622">
        <v>9.81</v>
      </c>
      <c r="AD131" s="622">
        <v>9.9</v>
      </c>
      <c r="AE131" s="626">
        <v>13</v>
      </c>
      <c r="AF131" s="622">
        <v>13.1</v>
      </c>
      <c r="AG131" s="624">
        <v>1.65</v>
      </c>
      <c r="AH131" s="626" t="s">
        <v>448</v>
      </c>
      <c r="AI131" s="624">
        <v>3.9</v>
      </c>
      <c r="AJ131" s="624">
        <v>45.8</v>
      </c>
      <c r="AK131" s="626">
        <v>2</v>
      </c>
      <c r="AL131" s="622">
        <f t="shared" si="14"/>
        <v>3.3499999999999996</v>
      </c>
      <c r="AM131" s="624" t="s">
        <v>517</v>
      </c>
      <c r="AN131" s="792">
        <f>$AN$77*$AQ$131+AU131</f>
        <v>32502</v>
      </c>
      <c r="AO131" s="792">
        <f>$AO$77*$AQ$131</f>
        <v>5417</v>
      </c>
      <c r="AP131" s="792">
        <f>$AP$77*$AQ$131</f>
        <v>16251</v>
      </c>
      <c r="AQ131" s="793">
        <f>AQ130</f>
        <v>54170</v>
      </c>
      <c r="AR131" s="1088"/>
      <c r="AS131" s="626" t="s">
        <v>450</v>
      </c>
      <c r="AT131" s="622">
        <f t="shared" si="12"/>
        <v>10.65</v>
      </c>
      <c r="AU131" s="794">
        <v>0</v>
      </c>
      <c r="AV131" s="795">
        <f t="shared" si="0"/>
        <v>54170</v>
      </c>
      <c r="AW131" s="786"/>
      <c r="AX131" s="1081"/>
      <c r="AY131" s="788"/>
      <c r="AZ131" s="787"/>
    </row>
    <row r="132" spans="2:52" x14ac:dyDescent="0.25">
      <c r="B132" s="1077"/>
      <c r="C132" s="719"/>
      <c r="D132" s="774"/>
      <c r="E132" s="775"/>
      <c r="F132" s="775"/>
      <c r="G132" s="775"/>
      <c r="H132" s="729"/>
      <c r="I132" s="776"/>
      <c r="J132" s="777"/>
      <c r="K132" s="729"/>
      <c r="L132" s="729"/>
      <c r="M132" s="729"/>
      <c r="N132" s="731"/>
      <c r="O132" s="731"/>
      <c r="P132" s="778"/>
      <c r="Q132" s="778"/>
      <c r="R132" s="718"/>
      <c r="S132" s="733"/>
      <c r="T132" s="733"/>
      <c r="U132" s="733"/>
      <c r="V132" s="779"/>
      <c r="W132" s="779"/>
      <c r="X132" s="779"/>
      <c r="Y132" s="780"/>
      <c r="Z132" s="780"/>
      <c r="AA132" s="789">
        <v>53</v>
      </c>
      <c r="AB132" s="624" t="s">
        <v>518</v>
      </c>
      <c r="AC132" s="622">
        <v>10.01</v>
      </c>
      <c r="AD132" s="622">
        <v>10.199999999999999</v>
      </c>
      <c r="AE132" s="626">
        <v>7</v>
      </c>
      <c r="AF132" s="622">
        <v>7.3</v>
      </c>
      <c r="AG132" s="798">
        <v>2.5</v>
      </c>
      <c r="AH132" s="626" t="s">
        <v>448</v>
      </c>
      <c r="AI132" s="624">
        <v>3.1</v>
      </c>
      <c r="AJ132" s="624">
        <v>62.9</v>
      </c>
      <c r="AK132" s="626">
        <v>2</v>
      </c>
      <c r="AL132" s="622">
        <f t="shared" si="14"/>
        <v>4.2</v>
      </c>
      <c r="AM132" s="624" t="s">
        <v>519</v>
      </c>
      <c r="AN132" s="792">
        <f>$AN$77*$AQ$132+AU132</f>
        <v>32502</v>
      </c>
      <c r="AO132" s="792">
        <f>$AO$77*$AQ$132</f>
        <v>5417</v>
      </c>
      <c r="AP132" s="792">
        <f>$AP$77*$AQ$132</f>
        <v>16251</v>
      </c>
      <c r="AQ132" s="793">
        <f>AQ131</f>
        <v>54170</v>
      </c>
      <c r="AR132" s="1088"/>
      <c r="AS132" s="626" t="s">
        <v>450</v>
      </c>
      <c r="AT132" s="622">
        <f t="shared" si="12"/>
        <v>10.95</v>
      </c>
      <c r="AU132" s="794">
        <v>0</v>
      </c>
      <c r="AV132" s="795">
        <f t="shared" si="0"/>
        <v>54170</v>
      </c>
      <c r="AW132" s="786"/>
      <c r="AX132" s="1081"/>
      <c r="AY132" s="788"/>
      <c r="AZ132" s="787"/>
    </row>
    <row r="133" spans="2:52" x14ac:dyDescent="0.25">
      <c r="B133" s="1077"/>
      <c r="C133" s="719"/>
      <c r="D133" s="774"/>
      <c r="E133" s="775"/>
      <c r="F133" s="775"/>
      <c r="G133" s="775"/>
      <c r="H133" s="729"/>
      <c r="I133" s="776"/>
      <c r="J133" s="777"/>
      <c r="K133" s="729"/>
      <c r="L133" s="729"/>
      <c r="M133" s="729"/>
      <c r="N133" s="731"/>
      <c r="O133" s="731"/>
      <c r="P133" s="778"/>
      <c r="Q133" s="778"/>
      <c r="R133" s="718"/>
      <c r="S133" s="733"/>
      <c r="T133" s="733"/>
      <c r="U133" s="733"/>
      <c r="V133" s="779"/>
      <c r="W133" s="779"/>
      <c r="X133" s="779"/>
      <c r="Y133" s="780"/>
      <c r="Z133" s="780"/>
      <c r="AA133" s="789">
        <v>54</v>
      </c>
      <c r="AB133" s="624" t="s">
        <v>520</v>
      </c>
      <c r="AC133" s="622">
        <v>10.48</v>
      </c>
      <c r="AD133" s="622">
        <v>10.7</v>
      </c>
      <c r="AE133" s="626">
        <v>15</v>
      </c>
      <c r="AF133" s="622">
        <v>15.6</v>
      </c>
      <c r="AG133" s="624">
        <v>2.0499999999999998</v>
      </c>
      <c r="AH133" s="626" t="s">
        <v>448</v>
      </c>
      <c r="AI133" s="624">
        <v>5</v>
      </c>
      <c r="AJ133" s="624">
        <v>60.7</v>
      </c>
      <c r="AK133" s="626">
        <v>2</v>
      </c>
      <c r="AL133" s="622">
        <f t="shared" si="14"/>
        <v>3.75</v>
      </c>
      <c r="AM133" s="624" t="s">
        <v>521</v>
      </c>
      <c r="AN133" s="792">
        <f>$AN$77*$AQ$133+AU133</f>
        <v>33180</v>
      </c>
      <c r="AO133" s="792">
        <f>$AO$77*$AQ$133</f>
        <v>5530</v>
      </c>
      <c r="AP133" s="792">
        <f>$AP$77*$AQ$133</f>
        <v>16590</v>
      </c>
      <c r="AQ133" s="793">
        <v>55300</v>
      </c>
      <c r="AR133" s="1088"/>
      <c r="AS133" s="626" t="s">
        <v>450</v>
      </c>
      <c r="AT133" s="622">
        <f t="shared" si="12"/>
        <v>11.45</v>
      </c>
      <c r="AU133" s="794">
        <v>0</v>
      </c>
      <c r="AV133" s="795">
        <f>AV132</f>
        <v>54170</v>
      </c>
      <c r="AW133" s="786"/>
      <c r="AX133" s="1081"/>
      <c r="AY133" s="788"/>
      <c r="AZ133" s="787"/>
    </row>
    <row r="134" spans="2:52" x14ac:dyDescent="0.25">
      <c r="B134" s="1077"/>
      <c r="C134" s="719"/>
      <c r="D134" s="774"/>
      <c r="E134" s="775"/>
      <c r="F134" s="775"/>
      <c r="G134" s="775"/>
      <c r="H134" s="729"/>
      <c r="I134" s="776"/>
      <c r="J134" s="777"/>
      <c r="K134" s="729"/>
      <c r="L134" s="729"/>
      <c r="M134" s="729"/>
      <c r="N134" s="731"/>
      <c r="O134" s="731"/>
      <c r="P134" s="778"/>
      <c r="Q134" s="778"/>
      <c r="R134" s="718"/>
      <c r="S134" s="733"/>
      <c r="T134" s="733"/>
      <c r="U134" s="733"/>
      <c r="V134" s="779"/>
      <c r="W134" s="779"/>
      <c r="X134" s="779"/>
      <c r="Y134" s="780"/>
      <c r="Z134" s="780"/>
      <c r="AA134" s="789">
        <v>55</v>
      </c>
      <c r="AB134" s="624" t="s">
        <v>522</v>
      </c>
      <c r="AC134" s="622">
        <v>11.89</v>
      </c>
      <c r="AD134" s="622">
        <v>12.2</v>
      </c>
      <c r="AE134" s="626">
        <v>12</v>
      </c>
      <c r="AF134" s="622">
        <v>12.4</v>
      </c>
      <c r="AG134" s="624">
        <v>3.36</v>
      </c>
      <c r="AH134" s="626" t="s">
        <v>448</v>
      </c>
      <c r="AI134" s="624">
        <v>5</v>
      </c>
      <c r="AJ134" s="624">
        <v>65.5</v>
      </c>
      <c r="AK134" s="626">
        <v>2</v>
      </c>
      <c r="AL134" s="622">
        <f t="shared" si="14"/>
        <v>5.0599999999999996</v>
      </c>
      <c r="AM134" s="624" t="s">
        <v>523</v>
      </c>
      <c r="AN134" s="792">
        <f>$AN$77*$AQ$134+AU134</f>
        <v>33180</v>
      </c>
      <c r="AO134" s="792">
        <f>$AO$77*$AQ$134</f>
        <v>5530</v>
      </c>
      <c r="AP134" s="792">
        <f>$AP$77*$AQ$134</f>
        <v>16590</v>
      </c>
      <c r="AQ134" s="793">
        <f>AQ133</f>
        <v>55300</v>
      </c>
      <c r="AR134" s="1088"/>
      <c r="AS134" s="626" t="s">
        <v>450</v>
      </c>
      <c r="AT134" s="622">
        <f t="shared" si="12"/>
        <v>12.95</v>
      </c>
      <c r="AU134" s="794">
        <v>0</v>
      </c>
      <c r="AV134" s="795">
        <f>AV133</f>
        <v>54170</v>
      </c>
      <c r="AW134" s="786"/>
      <c r="AX134" s="1081"/>
      <c r="AY134" s="788"/>
      <c r="AZ134" s="787"/>
    </row>
    <row r="135" spans="2:52" x14ac:dyDescent="0.25">
      <c r="B135" s="1077"/>
      <c r="C135" s="719"/>
      <c r="D135" s="774"/>
      <c r="E135" s="775"/>
      <c r="F135" s="775"/>
      <c r="G135" s="775"/>
      <c r="H135" s="729"/>
      <c r="I135" s="776"/>
      <c r="J135" s="777"/>
      <c r="K135" s="729"/>
      <c r="L135" s="729"/>
      <c r="M135" s="729"/>
      <c r="N135" s="731"/>
      <c r="O135" s="731"/>
      <c r="P135" s="778"/>
      <c r="Q135" s="778"/>
      <c r="R135" s="718"/>
      <c r="S135" s="733"/>
      <c r="T135" s="733"/>
      <c r="U135" s="733"/>
      <c r="V135" s="779"/>
      <c r="W135" s="779"/>
      <c r="X135" s="779"/>
      <c r="Y135" s="780"/>
      <c r="Z135" s="780"/>
      <c r="AA135" s="789">
        <v>56</v>
      </c>
      <c r="AB135" s="624" t="s">
        <v>524</v>
      </c>
      <c r="AC135" s="622">
        <v>13</v>
      </c>
      <c r="AD135" s="622">
        <v>13</v>
      </c>
      <c r="AE135" s="626">
        <v>44</v>
      </c>
      <c r="AF135" s="622">
        <v>44.2</v>
      </c>
      <c r="AG135" s="790">
        <v>2.7999999999999829</v>
      </c>
      <c r="AH135" s="626" t="s">
        <v>448</v>
      </c>
      <c r="AI135" s="624">
        <v>17</v>
      </c>
      <c r="AJ135" s="624">
        <v>37.799999999999997</v>
      </c>
      <c r="AK135" s="626">
        <v>2</v>
      </c>
      <c r="AL135" s="622">
        <f t="shared" si="14"/>
        <v>4.4999999999999831</v>
      </c>
      <c r="AM135" s="624" t="s">
        <v>525</v>
      </c>
      <c r="AN135" s="792">
        <f>$AN$77*$AQ$135+AU135</f>
        <v>44628</v>
      </c>
      <c r="AO135" s="792">
        <f>$AO$77*$AQ$135</f>
        <v>7438</v>
      </c>
      <c r="AP135" s="792">
        <f>$AP$77*$AQ$135</f>
        <v>22314</v>
      </c>
      <c r="AQ135" s="793">
        <v>74380</v>
      </c>
      <c r="AR135" s="1088"/>
      <c r="AS135" s="626" t="s">
        <v>450</v>
      </c>
      <c r="AT135" s="622">
        <f t="shared" si="12"/>
        <v>13.75</v>
      </c>
      <c r="AU135" s="794">
        <v>0</v>
      </c>
      <c r="AV135" s="795">
        <f t="shared" si="0"/>
        <v>74380</v>
      </c>
      <c r="AW135" s="786"/>
      <c r="AX135" s="1081"/>
      <c r="AY135" s="788"/>
      <c r="AZ135" s="787"/>
    </row>
    <row r="136" spans="2:52" x14ac:dyDescent="0.25">
      <c r="B136" s="1077"/>
      <c r="C136" s="719"/>
      <c r="D136" s="774"/>
      <c r="E136" s="775"/>
      <c r="F136" s="775"/>
      <c r="G136" s="775"/>
      <c r="H136" s="729"/>
      <c r="I136" s="776"/>
      <c r="J136" s="777"/>
      <c r="K136" s="729"/>
      <c r="L136" s="729"/>
      <c r="M136" s="729"/>
      <c r="N136" s="731"/>
      <c r="O136" s="731"/>
      <c r="P136" s="778"/>
      <c r="Q136" s="778"/>
      <c r="R136" s="718"/>
      <c r="S136" s="733"/>
      <c r="T136" s="733"/>
      <c r="U136" s="733"/>
      <c r="V136" s="779"/>
      <c r="W136" s="779"/>
      <c r="X136" s="779"/>
      <c r="Y136" s="780"/>
      <c r="Z136" s="780"/>
      <c r="AA136" s="789">
        <v>57</v>
      </c>
      <c r="AB136" s="624" t="s">
        <v>526</v>
      </c>
      <c r="AC136" s="622">
        <v>13.81</v>
      </c>
      <c r="AD136" s="622">
        <v>14.2</v>
      </c>
      <c r="AE136" s="626">
        <v>8</v>
      </c>
      <c r="AF136" s="622">
        <v>8.5</v>
      </c>
      <c r="AG136" s="790">
        <v>2.5300000000000011</v>
      </c>
      <c r="AH136" s="626" t="s">
        <v>448</v>
      </c>
      <c r="AI136" s="624">
        <v>3.1</v>
      </c>
      <c r="AJ136" s="624">
        <v>68.3</v>
      </c>
      <c r="AK136" s="626">
        <v>2</v>
      </c>
      <c r="AL136" s="622">
        <f t="shared" si="14"/>
        <v>4.2300000000000013</v>
      </c>
      <c r="AM136" s="624" t="s">
        <v>527</v>
      </c>
      <c r="AN136" s="792">
        <f>$AN$77*$AQ$136+AU136</f>
        <v>33180</v>
      </c>
      <c r="AO136" s="792">
        <f>$AO$77*$AQ$136</f>
        <v>5530</v>
      </c>
      <c r="AP136" s="792">
        <f>$AP$77*$AQ$136</f>
        <v>16590</v>
      </c>
      <c r="AQ136" s="793">
        <f>AQ134</f>
        <v>55300</v>
      </c>
      <c r="AR136" s="1088"/>
      <c r="AS136" s="626" t="s">
        <v>450</v>
      </c>
      <c r="AT136" s="622">
        <f t="shared" si="12"/>
        <v>14.95</v>
      </c>
      <c r="AU136" s="794">
        <v>0</v>
      </c>
      <c r="AV136" s="795">
        <f t="shared" si="0"/>
        <v>55300</v>
      </c>
      <c r="AW136" s="786"/>
      <c r="AX136" s="1081"/>
      <c r="AY136" s="788"/>
      <c r="AZ136" s="787"/>
    </row>
    <row r="137" spans="2:52" x14ac:dyDescent="0.25">
      <c r="B137" s="1077"/>
      <c r="C137" s="719"/>
      <c r="D137" s="774"/>
      <c r="E137" s="775"/>
      <c r="F137" s="775"/>
      <c r="G137" s="775"/>
      <c r="H137" s="729"/>
      <c r="I137" s="776"/>
      <c r="J137" s="777"/>
      <c r="K137" s="729"/>
      <c r="L137" s="729"/>
      <c r="M137" s="729"/>
      <c r="N137" s="731"/>
      <c r="O137" s="731"/>
      <c r="P137" s="778"/>
      <c r="Q137" s="778"/>
      <c r="R137" s="718"/>
      <c r="S137" s="733"/>
      <c r="T137" s="733"/>
      <c r="U137" s="733"/>
      <c r="V137" s="779"/>
      <c r="W137" s="779"/>
      <c r="X137" s="779"/>
      <c r="Y137" s="780"/>
      <c r="Z137" s="780"/>
      <c r="AA137" s="789">
        <v>58</v>
      </c>
      <c r="AB137" s="624" t="s">
        <v>528</v>
      </c>
      <c r="AC137" s="622">
        <v>14</v>
      </c>
      <c r="AD137" s="622">
        <v>14.4</v>
      </c>
      <c r="AE137" s="791">
        <v>15</v>
      </c>
      <c r="AF137" s="622">
        <v>15.9</v>
      </c>
      <c r="AG137" s="790">
        <v>4.2</v>
      </c>
      <c r="AH137" s="626" t="s">
        <v>448</v>
      </c>
      <c r="AI137" s="624">
        <v>5</v>
      </c>
      <c r="AJ137" s="624">
        <v>66.099999999999994</v>
      </c>
      <c r="AK137" s="626">
        <v>2</v>
      </c>
      <c r="AL137" s="622">
        <f t="shared" si="14"/>
        <v>5.9</v>
      </c>
      <c r="AM137" s="624" t="s">
        <v>523</v>
      </c>
      <c r="AN137" s="792">
        <f>$AN$77*$AQ$137+AU137</f>
        <v>37500</v>
      </c>
      <c r="AO137" s="792">
        <f>$AO$77*$AQ$137</f>
        <v>6250</v>
      </c>
      <c r="AP137" s="792">
        <f>$AP$77*$AQ$137</f>
        <v>18750</v>
      </c>
      <c r="AQ137" s="793">
        <v>62500</v>
      </c>
      <c r="AR137" s="1088"/>
      <c r="AS137" s="626" t="s">
        <v>450</v>
      </c>
      <c r="AT137" s="622">
        <f t="shared" si="12"/>
        <v>15.15</v>
      </c>
      <c r="AU137" s="794">
        <v>0</v>
      </c>
      <c r="AV137" s="795">
        <f t="shared" si="0"/>
        <v>62500</v>
      </c>
      <c r="AW137" s="786"/>
      <c r="AX137" s="1081"/>
      <c r="AY137" s="788"/>
      <c r="AZ137" s="787"/>
    </row>
    <row r="138" spans="2:52" x14ac:dyDescent="0.25">
      <c r="B138" s="1077"/>
      <c r="C138" s="719"/>
      <c r="D138" s="774"/>
      <c r="E138" s="775"/>
      <c r="F138" s="775"/>
      <c r="G138" s="775"/>
      <c r="H138" s="729"/>
      <c r="I138" s="776"/>
      <c r="J138" s="777"/>
      <c r="K138" s="729"/>
      <c r="L138" s="729"/>
      <c r="M138" s="729"/>
      <c r="N138" s="731"/>
      <c r="O138" s="731"/>
      <c r="P138" s="778"/>
      <c r="Q138" s="778"/>
      <c r="R138" s="718"/>
      <c r="S138" s="733"/>
      <c r="T138" s="733"/>
      <c r="U138" s="733"/>
      <c r="V138" s="779"/>
      <c r="W138" s="779"/>
      <c r="X138" s="779"/>
      <c r="Y138" s="780"/>
      <c r="Z138" s="780"/>
      <c r="AA138" s="789">
        <v>59</v>
      </c>
      <c r="AB138" s="624" t="s">
        <v>529</v>
      </c>
      <c r="AC138" s="622">
        <v>15.03</v>
      </c>
      <c r="AD138" s="622">
        <v>16.7</v>
      </c>
      <c r="AE138" s="626">
        <v>10</v>
      </c>
      <c r="AF138" s="622">
        <v>10.9</v>
      </c>
      <c r="AG138" s="624">
        <v>3.62</v>
      </c>
      <c r="AH138" s="626" t="s">
        <v>448</v>
      </c>
      <c r="AI138" s="624">
        <v>5</v>
      </c>
      <c r="AJ138" s="624">
        <v>69.8</v>
      </c>
      <c r="AK138" s="626">
        <v>2</v>
      </c>
      <c r="AL138" s="622">
        <f t="shared" si="14"/>
        <v>5.32</v>
      </c>
      <c r="AM138" s="624" t="s">
        <v>521</v>
      </c>
      <c r="AN138" s="792">
        <f>$AN$77*$AQ$138+AU138</f>
        <v>37500</v>
      </c>
      <c r="AO138" s="792">
        <f>$AO$77*$AQ$138</f>
        <v>6250</v>
      </c>
      <c r="AP138" s="792">
        <f>$AP$77*$AQ$138</f>
        <v>18750</v>
      </c>
      <c r="AQ138" s="793">
        <f>AQ137</f>
        <v>62500</v>
      </c>
      <c r="AR138" s="1088"/>
      <c r="AS138" s="626" t="s">
        <v>450</v>
      </c>
      <c r="AT138" s="622">
        <f t="shared" si="12"/>
        <v>17.45</v>
      </c>
      <c r="AU138" s="794">
        <v>0</v>
      </c>
      <c r="AV138" s="795">
        <f t="shared" si="0"/>
        <v>62500</v>
      </c>
      <c r="AW138" s="786"/>
      <c r="AX138" s="1081"/>
      <c r="AY138" s="788"/>
      <c r="AZ138" s="787"/>
    </row>
    <row r="139" spans="2:52" x14ac:dyDescent="0.25">
      <c r="B139" s="1077"/>
      <c r="C139" s="719"/>
      <c r="D139" s="774"/>
      <c r="E139" s="775"/>
      <c r="F139" s="775"/>
      <c r="G139" s="775"/>
      <c r="H139" s="729"/>
      <c r="I139" s="776"/>
      <c r="J139" s="777"/>
      <c r="K139" s="729"/>
      <c r="L139" s="729"/>
      <c r="M139" s="729"/>
      <c r="N139" s="731"/>
      <c r="O139" s="731"/>
      <c r="P139" s="778"/>
      <c r="Q139" s="778"/>
      <c r="R139" s="718"/>
      <c r="S139" s="733"/>
      <c r="T139" s="733"/>
      <c r="U139" s="733"/>
      <c r="V139" s="779"/>
      <c r="W139" s="779"/>
      <c r="X139" s="779"/>
      <c r="Y139" s="780"/>
      <c r="Z139" s="780"/>
      <c r="AA139" s="789">
        <v>60</v>
      </c>
      <c r="AB139" s="624" t="s">
        <v>530</v>
      </c>
      <c r="AC139" s="622">
        <v>15.98</v>
      </c>
      <c r="AD139" s="622">
        <v>16.7</v>
      </c>
      <c r="AE139" s="626">
        <v>9</v>
      </c>
      <c r="AF139" s="622">
        <v>10.9</v>
      </c>
      <c r="AG139" s="790">
        <v>3</v>
      </c>
      <c r="AH139" s="626" t="s">
        <v>448</v>
      </c>
      <c r="AI139" s="624">
        <v>5</v>
      </c>
      <c r="AJ139" s="624">
        <v>69.8</v>
      </c>
      <c r="AK139" s="624">
        <v>2</v>
      </c>
      <c r="AL139" s="622">
        <f t="shared" si="14"/>
        <v>4.7</v>
      </c>
      <c r="AM139" s="624" t="s">
        <v>521</v>
      </c>
      <c r="AN139" s="792">
        <f>$AN$77*$AQ$139+AU139</f>
        <v>33180</v>
      </c>
      <c r="AO139" s="792">
        <f>$AO$77*$AQ$139</f>
        <v>5530</v>
      </c>
      <c r="AP139" s="792">
        <f>$AP$77*$AQ$139</f>
        <v>16590</v>
      </c>
      <c r="AQ139" s="793">
        <f>AQ136</f>
        <v>55300</v>
      </c>
      <c r="AR139" s="1088"/>
      <c r="AS139" s="626" t="s">
        <v>450</v>
      </c>
      <c r="AT139" s="622">
        <f t="shared" si="12"/>
        <v>17.45</v>
      </c>
      <c r="AU139" s="794">
        <v>0</v>
      </c>
      <c r="AV139" s="795">
        <f t="shared" si="0"/>
        <v>55300</v>
      </c>
      <c r="AW139" s="786"/>
      <c r="AX139" s="1081"/>
      <c r="AY139" s="788"/>
      <c r="AZ139" s="787"/>
    </row>
    <row r="140" spans="2:52" x14ac:dyDescent="0.25">
      <c r="B140" s="1077"/>
      <c r="C140" s="719"/>
      <c r="D140" s="774"/>
      <c r="E140" s="775"/>
      <c r="F140" s="775"/>
      <c r="G140" s="775"/>
      <c r="H140" s="729"/>
      <c r="I140" s="776"/>
      <c r="J140" s="777"/>
      <c r="K140" s="729"/>
      <c r="L140" s="729"/>
      <c r="M140" s="729"/>
      <c r="N140" s="731"/>
      <c r="O140" s="731"/>
      <c r="P140" s="778"/>
      <c r="Q140" s="778"/>
      <c r="R140" s="718"/>
      <c r="S140" s="733"/>
      <c r="T140" s="733"/>
      <c r="U140" s="733"/>
      <c r="V140" s="779"/>
      <c r="W140" s="779"/>
      <c r="X140" s="779"/>
      <c r="Y140" s="780"/>
      <c r="Z140" s="780"/>
      <c r="AA140" s="789">
        <v>61</v>
      </c>
      <c r="AB140" s="624" t="s">
        <v>531</v>
      </c>
      <c r="AC140" s="622">
        <v>16.91</v>
      </c>
      <c r="AD140" s="622">
        <v>17.600000000000001</v>
      </c>
      <c r="AE140" s="626">
        <v>6</v>
      </c>
      <c r="AF140" s="622">
        <v>6.4</v>
      </c>
      <c r="AG140" s="790">
        <v>2.88</v>
      </c>
      <c r="AH140" s="626" t="s">
        <v>448</v>
      </c>
      <c r="AI140" s="624">
        <v>4</v>
      </c>
      <c r="AJ140" s="624">
        <v>66.8</v>
      </c>
      <c r="AK140" s="626">
        <v>2</v>
      </c>
      <c r="AL140" s="622">
        <f t="shared" si="14"/>
        <v>4.58</v>
      </c>
      <c r="AM140" s="624" t="s">
        <v>532</v>
      </c>
      <c r="AN140" s="792">
        <f>$AN$77*$AQ$140+AU140</f>
        <v>33180</v>
      </c>
      <c r="AO140" s="792">
        <f>$AO$77*$AQ$140</f>
        <v>5530</v>
      </c>
      <c r="AP140" s="792">
        <f>$AP$77*$AQ$140</f>
        <v>16590</v>
      </c>
      <c r="AQ140" s="793">
        <f>AQ139</f>
        <v>55300</v>
      </c>
      <c r="AR140" s="1088"/>
      <c r="AS140" s="626" t="s">
        <v>450</v>
      </c>
      <c r="AT140" s="622">
        <f t="shared" si="12"/>
        <v>18.350000000000001</v>
      </c>
      <c r="AU140" s="794">
        <v>0</v>
      </c>
      <c r="AV140" s="795">
        <f t="shared" si="0"/>
        <v>55300</v>
      </c>
      <c r="AW140" s="786"/>
      <c r="AX140" s="1081"/>
      <c r="AY140" s="788"/>
      <c r="AZ140" s="787"/>
    </row>
    <row r="141" spans="2:52" x14ac:dyDescent="0.25">
      <c r="B141" s="1077"/>
      <c r="C141" s="719"/>
      <c r="D141" s="774"/>
      <c r="E141" s="775"/>
      <c r="F141" s="775"/>
      <c r="G141" s="775"/>
      <c r="H141" s="729"/>
      <c r="I141" s="776"/>
      <c r="J141" s="777"/>
      <c r="K141" s="729"/>
      <c r="L141" s="729"/>
      <c r="M141" s="729"/>
      <c r="N141" s="731"/>
      <c r="O141" s="731"/>
      <c r="P141" s="778"/>
      <c r="Q141" s="778"/>
      <c r="R141" s="718"/>
      <c r="S141" s="733"/>
      <c r="T141" s="733"/>
      <c r="U141" s="733"/>
      <c r="V141" s="779"/>
      <c r="W141" s="779"/>
      <c r="X141" s="779"/>
      <c r="Y141" s="780"/>
      <c r="Z141" s="780"/>
      <c r="AA141" s="789">
        <v>62</v>
      </c>
      <c r="AB141" s="624" t="s">
        <v>533</v>
      </c>
      <c r="AC141" s="622">
        <v>17.309999999999999</v>
      </c>
      <c r="AD141" s="622">
        <v>17.399999999999999</v>
      </c>
      <c r="AE141" s="626">
        <v>38</v>
      </c>
      <c r="AF141" s="622">
        <v>38.299999999999997</v>
      </c>
      <c r="AG141" s="790">
        <v>3.8199999999999932</v>
      </c>
      <c r="AH141" s="626" t="s">
        <v>448</v>
      </c>
      <c r="AI141" s="624">
        <v>17</v>
      </c>
      <c r="AJ141" s="624">
        <v>43.2</v>
      </c>
      <c r="AK141" s="626">
        <v>2</v>
      </c>
      <c r="AL141" s="622">
        <f t="shared" si="14"/>
        <v>5.5199999999999934</v>
      </c>
      <c r="AM141" s="624" t="s">
        <v>534</v>
      </c>
      <c r="AN141" s="792">
        <f>$AN$77*$AQ$141+AU141</f>
        <v>44628</v>
      </c>
      <c r="AO141" s="792">
        <f>$AO$77*$AQ$141</f>
        <v>7438</v>
      </c>
      <c r="AP141" s="792">
        <f>$AP$77*$AQ$141</f>
        <v>22314</v>
      </c>
      <c r="AQ141" s="793">
        <v>74380</v>
      </c>
      <c r="AR141" s="1088"/>
      <c r="AS141" s="626" t="s">
        <v>450</v>
      </c>
      <c r="AT141" s="622">
        <f t="shared" si="12"/>
        <v>18.149999999999999</v>
      </c>
      <c r="AU141" s="794">
        <v>0</v>
      </c>
      <c r="AV141" s="795">
        <f t="shared" si="0"/>
        <v>74380</v>
      </c>
      <c r="AW141" s="786"/>
      <c r="AX141" s="1081"/>
      <c r="AY141" s="788"/>
      <c r="AZ141" s="787"/>
    </row>
    <row r="142" spans="2:52" x14ac:dyDescent="0.25">
      <c r="B142" s="1077"/>
      <c r="C142" s="719"/>
      <c r="D142" s="774"/>
      <c r="E142" s="775"/>
      <c r="F142" s="775"/>
      <c r="G142" s="775"/>
      <c r="H142" s="729"/>
      <c r="I142" s="776"/>
      <c r="J142" s="777"/>
      <c r="K142" s="729"/>
      <c r="L142" s="729"/>
      <c r="M142" s="729"/>
      <c r="N142" s="731"/>
      <c r="O142" s="731"/>
      <c r="P142" s="778"/>
      <c r="Q142" s="778"/>
      <c r="R142" s="718"/>
      <c r="S142" s="733"/>
      <c r="T142" s="733"/>
      <c r="U142" s="733"/>
      <c r="V142" s="779"/>
      <c r="W142" s="779"/>
      <c r="X142" s="779"/>
      <c r="Y142" s="780"/>
      <c r="Z142" s="780"/>
      <c r="AA142" s="789">
        <v>63</v>
      </c>
      <c r="AB142" s="624" t="s">
        <v>535</v>
      </c>
      <c r="AC142" s="622">
        <v>17.93</v>
      </c>
      <c r="AD142" s="622">
        <v>18.399999999999999</v>
      </c>
      <c r="AE142" s="626">
        <v>12</v>
      </c>
      <c r="AF142" s="622">
        <v>12.6</v>
      </c>
      <c r="AG142" s="624">
        <v>1.88</v>
      </c>
      <c r="AH142" s="626" t="s">
        <v>448</v>
      </c>
      <c r="AI142" s="624">
        <v>5</v>
      </c>
      <c r="AJ142" s="624">
        <v>71.599999999999994</v>
      </c>
      <c r="AK142" s="624">
        <v>2</v>
      </c>
      <c r="AL142" s="622">
        <f t="shared" si="14"/>
        <v>3.58</v>
      </c>
      <c r="AM142" s="624" t="s">
        <v>521</v>
      </c>
      <c r="AN142" s="792">
        <f>$AN$77*$AQ$142+AU142</f>
        <v>37500</v>
      </c>
      <c r="AO142" s="792">
        <f>$AO$77*$AQ$142</f>
        <v>6250</v>
      </c>
      <c r="AP142" s="792">
        <f>$AP$77*$AQ$142</f>
        <v>18750</v>
      </c>
      <c r="AQ142" s="793">
        <f>AQ138</f>
        <v>62500</v>
      </c>
      <c r="AR142" s="1088"/>
      <c r="AS142" s="626" t="s">
        <v>450</v>
      </c>
      <c r="AT142" s="622">
        <f t="shared" si="12"/>
        <v>19.149999999999999</v>
      </c>
      <c r="AU142" s="794">
        <v>0</v>
      </c>
      <c r="AV142" s="795">
        <f t="shared" si="0"/>
        <v>62500</v>
      </c>
      <c r="AW142" s="786"/>
      <c r="AX142" s="1081"/>
      <c r="AY142" s="788"/>
      <c r="AZ142" s="787"/>
    </row>
    <row r="143" spans="2:52" x14ac:dyDescent="0.25">
      <c r="B143" s="1077"/>
      <c r="C143" s="719"/>
      <c r="D143" s="774"/>
      <c r="E143" s="775"/>
      <c r="F143" s="775"/>
      <c r="G143" s="775"/>
      <c r="H143" s="729"/>
      <c r="I143" s="776"/>
      <c r="J143" s="777"/>
      <c r="K143" s="729"/>
      <c r="L143" s="729"/>
      <c r="M143" s="729"/>
      <c r="N143" s="731"/>
      <c r="O143" s="731"/>
      <c r="P143" s="778"/>
      <c r="Q143" s="778"/>
      <c r="R143" s="718"/>
      <c r="S143" s="733"/>
      <c r="T143" s="733"/>
      <c r="U143" s="733"/>
      <c r="V143" s="779"/>
      <c r="W143" s="779"/>
      <c r="X143" s="779"/>
      <c r="Y143" s="780"/>
      <c r="Z143" s="780"/>
      <c r="AA143" s="789">
        <v>64</v>
      </c>
      <c r="AB143" s="624" t="s">
        <v>536</v>
      </c>
      <c r="AC143" s="622">
        <v>18.04</v>
      </c>
      <c r="AD143" s="622">
        <v>18.399999999999999</v>
      </c>
      <c r="AE143" s="626">
        <v>12</v>
      </c>
      <c r="AF143" s="622">
        <v>12.6</v>
      </c>
      <c r="AG143" s="790">
        <v>3.5300000000000011</v>
      </c>
      <c r="AH143" s="626" t="s">
        <v>448</v>
      </c>
      <c r="AI143" s="624">
        <v>5</v>
      </c>
      <c r="AJ143" s="624">
        <v>71.599999999999994</v>
      </c>
      <c r="AK143" s="626">
        <v>2</v>
      </c>
      <c r="AL143" s="622">
        <f t="shared" si="14"/>
        <v>5.2300000000000013</v>
      </c>
      <c r="AM143" s="624" t="s">
        <v>521</v>
      </c>
      <c r="AN143" s="792">
        <f>$AN$77*$AQ$143+AU143</f>
        <v>37500</v>
      </c>
      <c r="AO143" s="792">
        <f>$AO$77*$AQ$143</f>
        <v>6250</v>
      </c>
      <c r="AP143" s="792">
        <f>$AP$77*$AQ$143</f>
        <v>18750</v>
      </c>
      <c r="AQ143" s="793">
        <f>AQ142</f>
        <v>62500</v>
      </c>
      <c r="AR143" s="1088"/>
      <c r="AS143" s="626" t="s">
        <v>450</v>
      </c>
      <c r="AT143" s="622">
        <f t="shared" si="12"/>
        <v>19.149999999999999</v>
      </c>
      <c r="AU143" s="794">
        <v>0</v>
      </c>
      <c r="AV143" s="795">
        <f t="shared" si="0"/>
        <v>62500</v>
      </c>
      <c r="AW143" s="786"/>
      <c r="AX143" s="1081"/>
      <c r="AY143" s="788"/>
      <c r="AZ143" s="787"/>
    </row>
    <row r="144" spans="2:52" x14ac:dyDescent="0.25">
      <c r="B144" s="1077"/>
      <c r="C144" s="719"/>
      <c r="D144" s="774"/>
      <c r="E144" s="775"/>
      <c r="F144" s="775"/>
      <c r="G144" s="775"/>
      <c r="H144" s="729"/>
      <c r="I144" s="776"/>
      <c r="J144" s="777"/>
      <c r="K144" s="729"/>
      <c r="L144" s="729"/>
      <c r="M144" s="729"/>
      <c r="N144" s="731"/>
      <c r="O144" s="731"/>
      <c r="P144" s="778"/>
      <c r="Q144" s="778"/>
      <c r="R144" s="718"/>
      <c r="S144" s="733"/>
      <c r="T144" s="733"/>
      <c r="U144" s="733"/>
      <c r="V144" s="779"/>
      <c r="W144" s="779"/>
      <c r="X144" s="779"/>
      <c r="Y144" s="780"/>
      <c r="Z144" s="780"/>
      <c r="AA144" s="789">
        <v>65</v>
      </c>
      <c r="AB144" s="624" t="s">
        <v>537</v>
      </c>
      <c r="AC144" s="622">
        <v>18.86</v>
      </c>
      <c r="AD144" s="622">
        <v>19.899999999999999</v>
      </c>
      <c r="AE144" s="626">
        <v>14</v>
      </c>
      <c r="AF144" s="622">
        <v>15.3</v>
      </c>
      <c r="AG144" s="790">
        <v>3.0600000000000023</v>
      </c>
      <c r="AH144" s="626" t="s">
        <v>448</v>
      </c>
      <c r="AI144" s="624">
        <v>6.6</v>
      </c>
      <c r="AJ144" s="624">
        <v>72</v>
      </c>
      <c r="AK144" s="626">
        <v>2</v>
      </c>
      <c r="AL144" s="622">
        <f t="shared" si="14"/>
        <v>4.7600000000000025</v>
      </c>
      <c r="AM144" s="624" t="s">
        <v>538</v>
      </c>
      <c r="AN144" s="792">
        <f>$AN$77*$AQ$144+AU144</f>
        <v>37500</v>
      </c>
      <c r="AO144" s="792">
        <f>$AO$77*$AQ$144</f>
        <v>6250</v>
      </c>
      <c r="AP144" s="792">
        <f>$AP$77*$AQ$144</f>
        <v>18750</v>
      </c>
      <c r="AQ144" s="793">
        <f>AQ143</f>
        <v>62500</v>
      </c>
      <c r="AR144" s="1088"/>
      <c r="AS144" s="626" t="s">
        <v>450</v>
      </c>
      <c r="AT144" s="622">
        <f t="shared" si="12"/>
        <v>20.65</v>
      </c>
      <c r="AU144" s="794">
        <v>0</v>
      </c>
      <c r="AV144" s="795">
        <f t="shared" si="0"/>
        <v>62500</v>
      </c>
      <c r="AW144" s="786"/>
      <c r="AX144" s="1081"/>
      <c r="AY144" s="788"/>
      <c r="AZ144" s="787"/>
    </row>
    <row r="145" spans="2:52" x14ac:dyDescent="0.25">
      <c r="B145" s="1084"/>
      <c r="C145" s="607"/>
      <c r="D145" s="632"/>
      <c r="E145" s="627"/>
      <c r="F145" s="698"/>
      <c r="G145" s="609"/>
      <c r="H145" s="610"/>
      <c r="I145" s="611"/>
      <c r="J145" s="698"/>
      <c r="K145" s="698"/>
      <c r="L145" s="606"/>
      <c r="M145" s="607"/>
      <c r="N145" s="611"/>
      <c r="O145" s="612"/>
      <c r="P145" s="613"/>
      <c r="Q145" s="614"/>
      <c r="R145" s="741"/>
      <c r="S145" s="636"/>
      <c r="T145" s="743"/>
      <c r="U145" s="724"/>
      <c r="Y145" s="724"/>
      <c r="Z145" s="724"/>
      <c r="AA145" s="789">
        <v>66</v>
      </c>
      <c r="AB145" s="624" t="s">
        <v>539</v>
      </c>
      <c r="AC145" s="622">
        <v>21</v>
      </c>
      <c r="AD145" s="622">
        <v>21</v>
      </c>
      <c r="AE145" s="791">
        <v>15</v>
      </c>
      <c r="AF145" s="622">
        <v>15</v>
      </c>
      <c r="AG145" s="790">
        <v>2.7</v>
      </c>
      <c r="AH145" s="626" t="s">
        <v>448</v>
      </c>
      <c r="AI145" s="624">
        <v>6.6</v>
      </c>
      <c r="AJ145" s="624">
        <v>67.2</v>
      </c>
      <c r="AK145" s="624">
        <v>2</v>
      </c>
      <c r="AL145" s="622">
        <f t="shared" si="14"/>
        <v>4.4000000000000004</v>
      </c>
      <c r="AM145" s="624" t="s">
        <v>540</v>
      </c>
      <c r="AN145" s="792">
        <f>$AN$77*$AQ$145+AU145</f>
        <v>51600</v>
      </c>
      <c r="AO145" s="792">
        <f>$AO$77*$AQ$145</f>
        <v>7250</v>
      </c>
      <c r="AP145" s="792">
        <f>$AP$77*$AQ$145</f>
        <v>21750</v>
      </c>
      <c r="AQ145" s="793">
        <v>72500</v>
      </c>
      <c r="AR145" s="1088"/>
      <c r="AS145" s="626" t="s">
        <v>450</v>
      </c>
      <c r="AT145" s="622">
        <f t="shared" si="12"/>
        <v>21.75</v>
      </c>
      <c r="AU145" s="794">
        <v>8100</v>
      </c>
      <c r="AV145" s="795">
        <f t="shared" ref="AV145:AV169" si="15">AN145+AO145+AP145</f>
        <v>80600</v>
      </c>
      <c r="AW145" s="786"/>
      <c r="AX145" s="1081"/>
      <c r="AY145" s="788"/>
      <c r="AZ145" s="787"/>
    </row>
    <row r="146" spans="2:52" x14ac:dyDescent="0.25">
      <c r="B146" s="1084"/>
      <c r="C146" s="607"/>
      <c r="D146" s="632"/>
      <c r="E146" s="627"/>
      <c r="F146" s="698"/>
      <c r="G146" s="609"/>
      <c r="H146" s="610"/>
      <c r="I146" s="611"/>
      <c r="J146" s="698"/>
      <c r="K146" s="698"/>
      <c r="L146" s="606"/>
      <c r="M146" s="607"/>
      <c r="N146" s="611"/>
      <c r="O146" s="612"/>
      <c r="P146" s="613"/>
      <c r="Q146" s="614"/>
      <c r="R146" s="741"/>
      <c r="S146" s="636"/>
      <c r="T146" s="743"/>
      <c r="U146" s="724"/>
      <c r="Y146" s="724"/>
      <c r="Z146" s="640"/>
      <c r="AA146" s="789">
        <v>67</v>
      </c>
      <c r="AB146" s="624" t="s">
        <v>541</v>
      </c>
      <c r="AC146" s="622">
        <v>22</v>
      </c>
      <c r="AD146" s="622">
        <v>22.4</v>
      </c>
      <c r="AE146" s="626">
        <v>13</v>
      </c>
      <c r="AF146" s="622">
        <v>13.5</v>
      </c>
      <c r="AG146" s="790">
        <v>4.5</v>
      </c>
      <c r="AH146" s="626" t="s">
        <v>448</v>
      </c>
      <c r="AI146" s="624">
        <v>6.6</v>
      </c>
      <c r="AJ146" s="624">
        <v>67</v>
      </c>
      <c r="AK146" s="624">
        <v>2</v>
      </c>
      <c r="AL146" s="622">
        <f t="shared" si="14"/>
        <v>6.2</v>
      </c>
      <c r="AM146" s="624" t="s">
        <v>540</v>
      </c>
      <c r="AN146" s="792">
        <f>$AN$77*$AQ$146+AU146</f>
        <v>51600</v>
      </c>
      <c r="AO146" s="792">
        <f>$AO$77*$AQ$146</f>
        <v>7250</v>
      </c>
      <c r="AP146" s="792">
        <f>$AP$77*$AQ$146</f>
        <v>21750</v>
      </c>
      <c r="AQ146" s="793">
        <v>72500</v>
      </c>
      <c r="AR146" s="1088"/>
      <c r="AS146" s="626" t="s">
        <v>450</v>
      </c>
      <c r="AT146" s="622">
        <f t="shared" si="12"/>
        <v>23.15</v>
      </c>
      <c r="AU146" s="794">
        <v>8100</v>
      </c>
      <c r="AV146" s="795">
        <f t="shared" si="15"/>
        <v>80600</v>
      </c>
      <c r="AW146" s="786"/>
      <c r="AX146" s="1081"/>
      <c r="AY146" s="788"/>
      <c r="AZ146" s="787"/>
    </row>
    <row r="147" spans="2:52" x14ac:dyDescent="0.25">
      <c r="B147" s="1084"/>
      <c r="C147" s="607"/>
      <c r="D147" s="632"/>
      <c r="E147" s="627"/>
      <c r="F147" s="698"/>
      <c r="G147" s="609"/>
      <c r="H147" s="610"/>
      <c r="I147" s="611"/>
      <c r="J147" s="698"/>
      <c r="K147" s="698"/>
      <c r="L147" s="606"/>
      <c r="M147" s="607"/>
      <c r="N147" s="611"/>
      <c r="O147" s="612"/>
      <c r="P147" s="613"/>
      <c r="Q147" s="614"/>
      <c r="R147" s="741"/>
      <c r="S147" s="636"/>
      <c r="T147" s="743"/>
      <c r="U147" s="724"/>
      <c r="Y147" s="724"/>
      <c r="Z147" s="724"/>
      <c r="AA147" s="789">
        <v>68</v>
      </c>
      <c r="AB147" s="624" t="s">
        <v>542</v>
      </c>
      <c r="AC147" s="622">
        <v>22.54</v>
      </c>
      <c r="AD147" s="622">
        <v>23</v>
      </c>
      <c r="AE147" s="626">
        <v>40</v>
      </c>
      <c r="AF147" s="622">
        <v>41.7</v>
      </c>
      <c r="AG147" s="790">
        <v>2.8799999999999955</v>
      </c>
      <c r="AH147" s="626" t="s">
        <v>448</v>
      </c>
      <c r="AI147" s="624">
        <v>26</v>
      </c>
      <c r="AJ147" s="624">
        <v>55.6</v>
      </c>
      <c r="AK147" s="624">
        <v>2.5</v>
      </c>
      <c r="AL147" s="622">
        <f>AG147+2.2</f>
        <v>5.0799999999999956</v>
      </c>
      <c r="AM147" s="624" t="s">
        <v>543</v>
      </c>
      <c r="AN147" s="792">
        <f>$AN$77*$AQ$147+AU147</f>
        <v>59880</v>
      </c>
      <c r="AO147" s="792">
        <f>$AO$77*$AQ$147</f>
        <v>8630</v>
      </c>
      <c r="AP147" s="792">
        <f>$AP$77*$AQ$147</f>
        <v>25890</v>
      </c>
      <c r="AQ147" s="793">
        <v>86300</v>
      </c>
      <c r="AR147" s="1088"/>
      <c r="AS147" s="626" t="s">
        <v>450</v>
      </c>
      <c r="AT147" s="622">
        <f t="shared" si="12"/>
        <v>23.75</v>
      </c>
      <c r="AU147" s="794">
        <v>8100</v>
      </c>
      <c r="AV147" s="795">
        <f t="shared" si="15"/>
        <v>94400</v>
      </c>
      <c r="AW147" s="786"/>
      <c r="AX147" s="1081"/>
      <c r="AY147" s="788"/>
      <c r="AZ147" s="787"/>
    </row>
    <row r="148" spans="2:52" x14ac:dyDescent="0.25">
      <c r="B148" s="1085"/>
      <c r="C148" s="607"/>
      <c r="D148" s="632"/>
      <c r="E148" s="799"/>
      <c r="F148" s="698"/>
      <c r="G148" s="609"/>
      <c r="H148" s="610"/>
      <c r="I148" s="611"/>
      <c r="J148" s="698"/>
      <c r="K148" s="698"/>
      <c r="L148" s="606"/>
      <c r="M148" s="607"/>
      <c r="N148" s="611"/>
      <c r="O148" s="612"/>
      <c r="P148" s="613"/>
      <c r="Q148" s="614"/>
      <c r="R148" s="741"/>
      <c r="S148" s="636"/>
      <c r="T148" s="743"/>
      <c r="U148" s="724"/>
      <c r="Y148" s="724"/>
      <c r="Z148" s="724"/>
      <c r="AA148" s="789">
        <v>69</v>
      </c>
      <c r="AB148" s="624" t="s">
        <v>544</v>
      </c>
      <c r="AC148" s="800">
        <v>23.5</v>
      </c>
      <c r="AD148" s="622">
        <v>24.1</v>
      </c>
      <c r="AE148" s="626">
        <v>13</v>
      </c>
      <c r="AF148" s="622">
        <v>13.7</v>
      </c>
      <c r="AG148" s="624">
        <v>1.6700000000000159</v>
      </c>
      <c r="AH148" s="626" t="s">
        <v>448</v>
      </c>
      <c r="AI148" s="624">
        <v>6.6</v>
      </c>
      <c r="AJ148" s="624">
        <v>67.3</v>
      </c>
      <c r="AK148" s="624">
        <v>2</v>
      </c>
      <c r="AL148" s="622">
        <f>AG148+1.7</f>
        <v>3.3700000000000161</v>
      </c>
      <c r="AM148" s="624" t="s">
        <v>545</v>
      </c>
      <c r="AN148" s="792">
        <f>$AN$77*$AQ$148+AU148</f>
        <v>51600</v>
      </c>
      <c r="AO148" s="792">
        <f>$AO$77*$AQ$148</f>
        <v>7250</v>
      </c>
      <c r="AP148" s="792">
        <f>$AP$77*$AQ$148</f>
        <v>21750</v>
      </c>
      <c r="AQ148" s="793">
        <v>72500</v>
      </c>
      <c r="AR148" s="1088"/>
      <c r="AS148" s="626" t="s">
        <v>450</v>
      </c>
      <c r="AT148" s="622">
        <f t="shared" si="12"/>
        <v>24.85</v>
      </c>
      <c r="AU148" s="794">
        <v>8100</v>
      </c>
      <c r="AV148" s="795">
        <f t="shared" si="15"/>
        <v>80600</v>
      </c>
      <c r="AW148" s="786"/>
      <c r="AX148" s="1081"/>
      <c r="AY148" s="788"/>
      <c r="AZ148" s="787"/>
    </row>
    <row r="149" spans="2:52" x14ac:dyDescent="0.25">
      <c r="B149" s="1085"/>
      <c r="C149" s="607"/>
      <c r="D149" s="632"/>
      <c r="E149" s="629"/>
      <c r="F149" s="698"/>
      <c r="G149" s="609"/>
      <c r="H149" s="610"/>
      <c r="I149" s="611"/>
      <c r="J149" s="698"/>
      <c r="K149" s="698"/>
      <c r="L149" s="606"/>
      <c r="M149" s="607"/>
      <c r="N149" s="611"/>
      <c r="O149" s="612"/>
      <c r="P149" s="613"/>
      <c r="Q149" s="614"/>
      <c r="R149" s="741"/>
      <c r="S149" s="636"/>
      <c r="T149" s="743"/>
      <c r="U149" s="724"/>
      <c r="Y149" s="724"/>
      <c r="Z149" s="640"/>
      <c r="AA149" s="789">
        <v>70</v>
      </c>
      <c r="AB149" s="624" t="s">
        <v>546</v>
      </c>
      <c r="AC149" s="626">
        <v>26.34</v>
      </c>
      <c r="AD149" s="622">
        <v>26.9</v>
      </c>
      <c r="AE149" s="626">
        <v>7</v>
      </c>
      <c r="AF149" s="622">
        <v>7.3</v>
      </c>
      <c r="AG149" s="624">
        <v>2.1399999999999864</v>
      </c>
      <c r="AH149" s="626" t="s">
        <v>448</v>
      </c>
      <c r="AI149" s="626">
        <v>4</v>
      </c>
      <c r="AJ149" s="626">
        <v>72.900000000000006</v>
      </c>
      <c r="AK149" s="626">
        <v>2.5</v>
      </c>
      <c r="AL149" s="622">
        <f>AG149+2.2</f>
        <v>4.3399999999999865</v>
      </c>
      <c r="AM149" s="626" t="s">
        <v>547</v>
      </c>
      <c r="AN149" s="792">
        <f>$AN$77*$AQ$149+AU149</f>
        <v>51600</v>
      </c>
      <c r="AO149" s="792">
        <f>$AO$77*$AQ$149</f>
        <v>7250</v>
      </c>
      <c r="AP149" s="792">
        <f>$AP$77*$AQ$149</f>
        <v>21750</v>
      </c>
      <c r="AQ149" s="793">
        <f>AQ146</f>
        <v>72500</v>
      </c>
      <c r="AR149" s="1088"/>
      <c r="AS149" s="626" t="s">
        <v>450</v>
      </c>
      <c r="AT149" s="622">
        <f t="shared" si="12"/>
        <v>27.65</v>
      </c>
      <c r="AU149" s="794">
        <v>8100</v>
      </c>
      <c r="AV149" s="795">
        <f t="shared" si="15"/>
        <v>80600</v>
      </c>
      <c r="AW149" s="786"/>
      <c r="AX149" s="1081"/>
      <c r="AY149" s="788"/>
      <c r="AZ149" s="787"/>
    </row>
    <row r="150" spans="2:52" x14ac:dyDescent="0.25">
      <c r="B150" s="1085"/>
      <c r="C150" s="607"/>
      <c r="D150" s="632"/>
      <c r="E150" s="627"/>
      <c r="F150" s="698"/>
      <c r="G150" s="609"/>
      <c r="H150" s="610"/>
      <c r="I150" s="611"/>
      <c r="J150" s="698"/>
      <c r="K150" s="698"/>
      <c r="L150" s="606"/>
      <c r="M150" s="607"/>
      <c r="N150" s="611"/>
      <c r="O150" s="612"/>
      <c r="P150" s="613"/>
      <c r="Q150" s="614"/>
      <c r="R150" s="741"/>
      <c r="S150" s="636"/>
      <c r="T150" s="743"/>
      <c r="U150" s="724"/>
      <c r="Y150" s="724"/>
      <c r="Z150" s="724"/>
      <c r="AA150" s="789">
        <v>71</v>
      </c>
      <c r="AB150" s="624" t="s">
        <v>548</v>
      </c>
      <c r="AC150" s="622">
        <v>27.1</v>
      </c>
      <c r="AD150" s="622">
        <v>27.7</v>
      </c>
      <c r="AE150" s="626">
        <v>13</v>
      </c>
      <c r="AF150" s="622">
        <v>13.5</v>
      </c>
      <c r="AG150" s="624">
        <v>2.5499999999999545</v>
      </c>
      <c r="AH150" s="626" t="s">
        <v>448</v>
      </c>
      <c r="AI150" s="626">
        <v>6.6</v>
      </c>
      <c r="AJ150" s="626">
        <v>74.900000000000006</v>
      </c>
      <c r="AK150" s="626">
        <v>2.5</v>
      </c>
      <c r="AL150" s="622">
        <f>AG150+2.2</f>
        <v>4.7499999999999547</v>
      </c>
      <c r="AM150" s="626" t="s">
        <v>538</v>
      </c>
      <c r="AN150" s="792">
        <f>$AN$77*$AQ$150+AU150</f>
        <v>51600</v>
      </c>
      <c r="AO150" s="792">
        <f>$AO$77*AQ150</f>
        <v>7250</v>
      </c>
      <c r="AP150" s="792">
        <f>$AP$77*$AQ150</f>
        <v>21750</v>
      </c>
      <c r="AQ150" s="793">
        <f>AQ148</f>
        <v>72500</v>
      </c>
      <c r="AR150" s="1088"/>
      <c r="AS150" s="626" t="s">
        <v>450</v>
      </c>
      <c r="AT150" s="622">
        <f t="shared" si="12"/>
        <v>28.45</v>
      </c>
      <c r="AU150" s="794">
        <v>8100</v>
      </c>
      <c r="AV150" s="795">
        <f t="shared" si="15"/>
        <v>80600</v>
      </c>
      <c r="AW150" s="786"/>
      <c r="AX150" s="1082"/>
      <c r="AY150" s="788"/>
      <c r="AZ150" s="787"/>
    </row>
    <row r="151" spans="2:52" x14ac:dyDescent="0.25">
      <c r="B151" s="612"/>
      <c r="C151" s="607"/>
      <c r="D151" s="632"/>
      <c r="E151" s="627"/>
      <c r="F151" s="698"/>
      <c r="G151" s="609"/>
      <c r="H151" s="610"/>
      <c r="I151" s="611"/>
      <c r="J151" s="698"/>
      <c r="K151" s="698"/>
      <c r="L151" s="606"/>
      <c r="M151" s="607"/>
      <c r="N151" s="611"/>
      <c r="O151" s="612"/>
      <c r="P151" s="613"/>
      <c r="Q151" s="614"/>
      <c r="R151" s="741"/>
      <c r="S151" s="636"/>
      <c r="T151" s="743"/>
      <c r="U151" s="724"/>
      <c r="Y151" s="724"/>
      <c r="Z151" s="724"/>
      <c r="AA151" s="789">
        <v>72</v>
      </c>
      <c r="AB151" s="624" t="s">
        <v>549</v>
      </c>
      <c r="AC151" s="622">
        <v>27.31</v>
      </c>
      <c r="AD151" s="625">
        <v>28.5</v>
      </c>
      <c r="AE151" s="801">
        <v>10.9</v>
      </c>
      <c r="AF151" s="622">
        <v>10.9</v>
      </c>
      <c r="AG151" s="624">
        <v>2.0099999999999998</v>
      </c>
      <c r="AH151" s="626" t="s">
        <v>448</v>
      </c>
      <c r="AI151" s="626">
        <v>6.6</v>
      </c>
      <c r="AJ151" s="626">
        <v>66.099999999999994</v>
      </c>
      <c r="AK151" s="626">
        <v>2</v>
      </c>
      <c r="AL151" s="622">
        <v>3.71</v>
      </c>
      <c r="AM151" s="626" t="s">
        <v>545</v>
      </c>
      <c r="AN151" s="792">
        <f>$AN$77*$AQ151+AU151</f>
        <v>51600</v>
      </c>
      <c r="AO151" s="792">
        <f t="shared" ref="AO151:AO169" si="16">$AO$77*AQ151</f>
        <v>7250</v>
      </c>
      <c r="AP151" s="792">
        <f t="shared" ref="AP151:AP169" si="17">$AP$77*$AQ151</f>
        <v>21750</v>
      </c>
      <c r="AQ151" s="793">
        <f>AQ150</f>
        <v>72500</v>
      </c>
      <c r="AR151" s="1088"/>
      <c r="AS151" s="626" t="s">
        <v>450</v>
      </c>
      <c r="AT151" s="622">
        <v>2.76</v>
      </c>
      <c r="AU151" s="794">
        <v>8100</v>
      </c>
      <c r="AV151" s="795">
        <f t="shared" si="15"/>
        <v>80600</v>
      </c>
      <c r="AW151" s="786"/>
      <c r="AX151" s="609"/>
      <c r="AY151" s="788"/>
      <c r="AZ151" s="787"/>
    </row>
    <row r="152" spans="2:52" x14ac:dyDescent="0.25">
      <c r="B152" s="612"/>
      <c r="C152" s="607"/>
      <c r="D152" s="632"/>
      <c r="E152" s="698"/>
      <c r="F152" s="698"/>
      <c r="G152" s="698"/>
      <c r="H152" s="610"/>
      <c r="I152" s="611"/>
      <c r="J152" s="698"/>
      <c r="K152" s="698"/>
      <c r="L152" s="606"/>
      <c r="M152" s="607"/>
      <c r="N152" s="611"/>
      <c r="O152" s="612"/>
      <c r="P152" s="613"/>
      <c r="Q152" s="614"/>
      <c r="R152" s="741"/>
      <c r="S152" s="636"/>
      <c r="T152" s="743"/>
      <c r="U152" s="724"/>
      <c r="Y152" s="724"/>
      <c r="Z152" s="640"/>
      <c r="AA152" s="789">
        <v>73</v>
      </c>
      <c r="AB152" s="624" t="s">
        <v>550</v>
      </c>
      <c r="AC152" s="625">
        <v>29.6</v>
      </c>
      <c r="AD152" s="625">
        <v>29.6</v>
      </c>
      <c r="AE152" s="625">
        <v>20</v>
      </c>
      <c r="AF152" s="622">
        <v>20</v>
      </c>
      <c r="AG152" s="624">
        <v>1.59</v>
      </c>
      <c r="AH152" s="626" t="s">
        <v>448</v>
      </c>
      <c r="AI152" s="626">
        <v>15</v>
      </c>
      <c r="AJ152" s="626">
        <v>70.5</v>
      </c>
      <c r="AK152" s="626">
        <v>2.5</v>
      </c>
      <c r="AL152" s="622">
        <v>3.29</v>
      </c>
      <c r="AM152" s="626" t="s">
        <v>603</v>
      </c>
      <c r="AN152" s="792">
        <f t="shared" ref="AN152:AN154" si="18">$AN$77*$AQ152+AU152</f>
        <v>59880</v>
      </c>
      <c r="AO152" s="792">
        <f t="shared" si="16"/>
        <v>8630</v>
      </c>
      <c r="AP152" s="792">
        <f t="shared" si="17"/>
        <v>25890</v>
      </c>
      <c r="AQ152" s="793">
        <f>AQ147</f>
        <v>86300</v>
      </c>
      <c r="AR152" s="1088"/>
      <c r="AS152" s="626" t="s">
        <v>450</v>
      </c>
      <c r="AT152" s="622">
        <v>2.34</v>
      </c>
      <c r="AU152" s="794">
        <v>8100</v>
      </c>
      <c r="AV152" s="795">
        <f t="shared" si="15"/>
        <v>94400</v>
      </c>
      <c r="AW152" s="786"/>
      <c r="AX152" s="609"/>
      <c r="AY152" s="788"/>
      <c r="AZ152" s="787"/>
    </row>
    <row r="153" spans="2:52" x14ac:dyDescent="0.25">
      <c r="B153" s="612"/>
      <c r="C153" s="607"/>
      <c r="D153" s="632"/>
      <c r="E153" s="627"/>
      <c r="F153" s="698"/>
      <c r="G153" s="609"/>
      <c r="H153" s="610"/>
      <c r="I153" s="611"/>
      <c r="J153" s="698"/>
      <c r="K153" s="698"/>
      <c r="L153" s="606"/>
      <c r="M153" s="607"/>
      <c r="N153" s="611"/>
      <c r="O153" s="612"/>
      <c r="P153" s="613"/>
      <c r="Q153" s="614"/>
      <c r="R153" s="741"/>
      <c r="S153" s="636"/>
      <c r="T153" s="743"/>
      <c r="U153" s="724"/>
      <c r="Y153" s="724"/>
      <c r="Z153" s="724"/>
      <c r="AA153" s="789">
        <v>74</v>
      </c>
      <c r="AB153" s="624" t="s">
        <v>551</v>
      </c>
      <c r="AC153" s="622">
        <v>31.91</v>
      </c>
      <c r="AD153" s="625">
        <v>32.1</v>
      </c>
      <c r="AE153" s="801">
        <v>10.1</v>
      </c>
      <c r="AF153" s="622">
        <v>10.1</v>
      </c>
      <c r="AG153" s="624">
        <v>3.28</v>
      </c>
      <c r="AH153" s="626" t="s">
        <v>448</v>
      </c>
      <c r="AI153" s="626">
        <v>6.6</v>
      </c>
      <c r="AJ153" s="626">
        <v>64.5</v>
      </c>
      <c r="AK153" s="626">
        <v>2.5</v>
      </c>
      <c r="AL153" s="622">
        <v>4.9799999999999995</v>
      </c>
      <c r="AM153" s="626" t="s">
        <v>545</v>
      </c>
      <c r="AN153" s="792">
        <f t="shared" si="18"/>
        <v>56820</v>
      </c>
      <c r="AO153" s="792">
        <f t="shared" si="16"/>
        <v>8120</v>
      </c>
      <c r="AP153" s="792">
        <f t="shared" si="17"/>
        <v>24360</v>
      </c>
      <c r="AQ153" s="793">
        <v>81200</v>
      </c>
      <c r="AR153" s="1088"/>
      <c r="AS153" s="626" t="s">
        <v>450</v>
      </c>
      <c r="AT153" s="622">
        <v>4.0299999999999994</v>
      </c>
      <c r="AU153" s="794">
        <v>8100</v>
      </c>
      <c r="AV153" s="795">
        <f t="shared" si="15"/>
        <v>89300</v>
      </c>
      <c r="AW153" s="786"/>
      <c r="AX153" s="609"/>
      <c r="AY153" s="788"/>
      <c r="AZ153" s="787"/>
    </row>
    <row r="154" spans="2:52" x14ac:dyDescent="0.25">
      <c r="B154" s="612"/>
      <c r="C154" s="607"/>
      <c r="D154" s="632"/>
      <c r="E154" s="627"/>
      <c r="F154" s="698"/>
      <c r="G154" s="609"/>
      <c r="H154" s="610"/>
      <c r="I154" s="611"/>
      <c r="J154" s="698"/>
      <c r="K154" s="698"/>
      <c r="L154" s="606"/>
      <c r="M154" s="607"/>
      <c r="N154" s="611"/>
      <c r="O154" s="612"/>
      <c r="P154" s="613"/>
      <c r="Q154" s="614"/>
      <c r="R154" s="741"/>
      <c r="S154" s="636"/>
      <c r="T154" s="743"/>
      <c r="U154" s="724"/>
      <c r="Y154" s="724"/>
      <c r="Z154" s="724"/>
      <c r="AA154" s="789">
        <v>75</v>
      </c>
      <c r="AB154" s="624" t="s">
        <v>552</v>
      </c>
      <c r="AC154" s="622">
        <v>32.590000000000003</v>
      </c>
      <c r="AD154" s="625">
        <v>32.700000000000003</v>
      </c>
      <c r="AE154" s="801">
        <v>13.1</v>
      </c>
      <c r="AF154" s="622">
        <v>13.1</v>
      </c>
      <c r="AG154" s="624">
        <v>1.7</v>
      </c>
      <c r="AH154" s="626" t="s">
        <v>448</v>
      </c>
      <c r="AI154" s="626">
        <v>7.8</v>
      </c>
      <c r="AJ154" s="626">
        <v>67.099999999999994</v>
      </c>
      <c r="AK154" s="626">
        <v>2.5</v>
      </c>
      <c r="AL154" s="622">
        <v>3.4</v>
      </c>
      <c r="AM154" s="626" t="s">
        <v>604</v>
      </c>
      <c r="AN154" s="792">
        <f t="shared" si="18"/>
        <v>56820</v>
      </c>
      <c r="AO154" s="792">
        <f t="shared" si="16"/>
        <v>8120</v>
      </c>
      <c r="AP154" s="792">
        <f t="shared" si="17"/>
        <v>24360</v>
      </c>
      <c r="AQ154" s="793">
        <v>81200</v>
      </c>
      <c r="AR154" s="1088"/>
      <c r="AS154" s="626" t="s">
        <v>450</v>
      </c>
      <c r="AT154" s="622">
        <v>2.4500000000000002</v>
      </c>
      <c r="AU154" s="794">
        <v>8100</v>
      </c>
      <c r="AV154" s="795">
        <f t="shared" si="15"/>
        <v>89300</v>
      </c>
      <c r="AW154" s="786"/>
      <c r="AX154" s="609"/>
      <c r="AY154" s="788"/>
      <c r="AZ154" s="787"/>
    </row>
    <row r="155" spans="2:52" x14ac:dyDescent="0.25">
      <c r="B155" s="1085"/>
      <c r="C155" s="607"/>
      <c r="D155" s="632"/>
      <c r="E155" s="698"/>
      <c r="F155" s="698"/>
      <c r="G155" s="609"/>
      <c r="H155" s="610"/>
      <c r="I155" s="611"/>
      <c r="J155" s="698"/>
      <c r="K155" s="698"/>
      <c r="L155" s="606"/>
      <c r="M155" s="607"/>
      <c r="N155" s="611"/>
      <c r="O155" s="612"/>
      <c r="P155" s="613"/>
      <c r="Q155" s="614"/>
      <c r="R155" s="741"/>
      <c r="S155" s="636"/>
      <c r="T155" s="743"/>
      <c r="U155" s="724"/>
      <c r="Y155" s="724"/>
      <c r="Z155" s="640"/>
      <c r="AA155" s="789">
        <v>76</v>
      </c>
      <c r="AB155" s="624" t="s">
        <v>553</v>
      </c>
      <c r="AC155" s="625">
        <v>20</v>
      </c>
      <c r="AD155" s="625">
        <v>20.8</v>
      </c>
      <c r="AE155" s="801">
        <v>15.1</v>
      </c>
      <c r="AF155" s="802">
        <v>15.1</v>
      </c>
      <c r="AG155" s="802"/>
      <c r="AH155" s="802" t="s">
        <v>448</v>
      </c>
      <c r="AI155" s="802">
        <v>6.6</v>
      </c>
      <c r="AJ155" s="802">
        <v>67.099999999999994</v>
      </c>
      <c r="AK155" s="802">
        <v>2</v>
      </c>
      <c r="AL155" s="802">
        <v>1.7</v>
      </c>
      <c r="AM155" s="802" t="s">
        <v>545</v>
      </c>
      <c r="AN155" s="803">
        <f>$AN$77*AQ155+AU155</f>
        <v>51600</v>
      </c>
      <c r="AO155" s="792">
        <f t="shared" si="16"/>
        <v>7250</v>
      </c>
      <c r="AP155" s="792">
        <f t="shared" si="17"/>
        <v>21750</v>
      </c>
      <c r="AQ155" s="793">
        <f>AQ145</f>
        <v>72500</v>
      </c>
      <c r="AR155" s="1088"/>
      <c r="AS155" s="804" t="s">
        <v>450</v>
      </c>
      <c r="AT155" s="804">
        <v>0.75</v>
      </c>
      <c r="AU155" s="794">
        <v>8100</v>
      </c>
      <c r="AV155" s="795">
        <f t="shared" si="15"/>
        <v>80600</v>
      </c>
      <c r="AW155" s="786"/>
      <c r="AX155" s="616"/>
      <c r="AY155" s="788"/>
      <c r="AZ155" s="787"/>
    </row>
    <row r="156" spans="2:52" x14ac:dyDescent="0.25">
      <c r="B156" s="1085"/>
      <c r="C156" s="607"/>
      <c r="D156" s="632"/>
      <c r="E156" s="698"/>
      <c r="F156" s="698"/>
      <c r="G156" s="609"/>
      <c r="H156" s="610"/>
      <c r="I156" s="611"/>
      <c r="J156" s="698"/>
      <c r="K156" s="698"/>
      <c r="L156" s="606"/>
      <c r="M156" s="607"/>
      <c r="N156" s="611"/>
      <c r="O156" s="612"/>
      <c r="P156" s="613"/>
      <c r="Q156" s="614"/>
      <c r="R156" s="741"/>
      <c r="S156" s="636"/>
      <c r="T156" s="743"/>
      <c r="U156" s="724"/>
      <c r="Y156" s="724"/>
      <c r="Z156" s="724"/>
      <c r="AA156" s="789">
        <v>77</v>
      </c>
      <c r="AB156" s="624" t="s">
        <v>554</v>
      </c>
      <c r="AC156" s="625">
        <v>20.9</v>
      </c>
      <c r="AD156" s="625">
        <v>22.2</v>
      </c>
      <c r="AE156" s="801">
        <v>12.5</v>
      </c>
      <c r="AF156" s="802">
        <v>12.5</v>
      </c>
      <c r="AG156" s="802"/>
      <c r="AH156" s="802" t="s">
        <v>448</v>
      </c>
      <c r="AI156" s="802">
        <v>6.6</v>
      </c>
      <c r="AJ156" s="802">
        <v>66.8</v>
      </c>
      <c r="AK156" s="802">
        <v>2</v>
      </c>
      <c r="AL156" s="802">
        <v>1.7</v>
      </c>
      <c r="AM156" s="802" t="s">
        <v>545</v>
      </c>
      <c r="AN156" s="803">
        <f t="shared" ref="AN156:AN169" si="19">$AN$77*AQ156+AU156</f>
        <v>51600</v>
      </c>
      <c r="AO156" s="792">
        <f t="shared" si="16"/>
        <v>7250</v>
      </c>
      <c r="AP156" s="792">
        <f t="shared" si="17"/>
        <v>21750</v>
      </c>
      <c r="AQ156" s="793">
        <f>AQ145</f>
        <v>72500</v>
      </c>
      <c r="AR156" s="1088"/>
      <c r="AS156" s="804" t="s">
        <v>450</v>
      </c>
      <c r="AT156" s="804">
        <v>0.75</v>
      </c>
      <c r="AU156" s="794">
        <v>8100</v>
      </c>
      <c r="AV156" s="795">
        <f t="shared" si="15"/>
        <v>80600</v>
      </c>
      <c r="AW156" s="786"/>
      <c r="AX156" s="616"/>
      <c r="AY156" s="788"/>
      <c r="AZ156" s="787"/>
    </row>
    <row r="157" spans="2:52" x14ac:dyDescent="0.25">
      <c r="B157" s="606"/>
      <c r="C157" s="607"/>
      <c r="D157" s="632"/>
      <c r="E157" s="698"/>
      <c r="F157" s="698"/>
      <c r="G157" s="609"/>
      <c r="H157" s="610"/>
      <c r="I157" s="611"/>
      <c r="J157" s="698"/>
      <c r="K157" s="698"/>
      <c r="L157" s="606"/>
      <c r="M157" s="607"/>
      <c r="N157" s="611"/>
      <c r="O157" s="612"/>
      <c r="P157" s="613"/>
      <c r="Q157" s="614"/>
      <c r="R157" s="741"/>
      <c r="S157" s="636"/>
      <c r="T157" s="743"/>
      <c r="U157" s="724"/>
      <c r="Y157" s="724"/>
      <c r="Z157" s="724"/>
      <c r="AA157" s="789">
        <v>78</v>
      </c>
      <c r="AB157" s="624" t="s">
        <v>555</v>
      </c>
      <c r="AC157" s="625">
        <v>89</v>
      </c>
      <c r="AD157" s="625">
        <v>89.4</v>
      </c>
      <c r="AE157" s="801">
        <v>11.1</v>
      </c>
      <c r="AF157" s="802">
        <v>11.1</v>
      </c>
      <c r="AG157" s="802">
        <v>4</v>
      </c>
      <c r="AH157" s="802" t="s">
        <v>448</v>
      </c>
      <c r="AI157" s="802">
        <v>18.5</v>
      </c>
      <c r="AJ157" s="802">
        <v>55.4</v>
      </c>
      <c r="AK157" s="802">
        <v>3</v>
      </c>
      <c r="AL157" s="802">
        <v>5.7</v>
      </c>
      <c r="AM157" s="802" t="s">
        <v>605</v>
      </c>
      <c r="AN157" s="803">
        <f t="shared" si="19"/>
        <v>63480</v>
      </c>
      <c r="AO157" s="792">
        <f t="shared" si="16"/>
        <v>9230</v>
      </c>
      <c r="AP157" s="792">
        <f t="shared" si="17"/>
        <v>27690</v>
      </c>
      <c r="AQ157" s="793">
        <v>92300</v>
      </c>
      <c r="AR157" s="1088"/>
      <c r="AS157" s="804" t="s">
        <v>450</v>
      </c>
      <c r="AT157" s="804">
        <v>4.75</v>
      </c>
      <c r="AU157" s="794">
        <v>8100</v>
      </c>
      <c r="AV157" s="795">
        <f t="shared" si="15"/>
        <v>100400</v>
      </c>
      <c r="AW157" s="786"/>
      <c r="AX157" s="616"/>
      <c r="AY157" s="788"/>
      <c r="AZ157" s="787"/>
    </row>
    <row r="158" spans="2:52" x14ac:dyDescent="0.25">
      <c r="B158" s="606"/>
      <c r="C158" s="607"/>
      <c r="D158" s="632"/>
      <c r="E158" s="698"/>
      <c r="F158" s="698"/>
      <c r="G158" s="609"/>
      <c r="H158" s="610"/>
      <c r="I158" s="611"/>
      <c r="J158" s="698"/>
      <c r="K158" s="698"/>
      <c r="L158" s="606"/>
      <c r="M158" s="607"/>
      <c r="N158" s="611"/>
      <c r="O158" s="612"/>
      <c r="P158" s="613"/>
      <c r="Q158" s="614"/>
      <c r="R158" s="741"/>
      <c r="S158" s="636"/>
      <c r="T158" s="743"/>
      <c r="U158" s="724"/>
      <c r="Y158" s="724"/>
      <c r="Z158" s="640"/>
      <c r="AA158" s="789">
        <v>79</v>
      </c>
      <c r="AB158" s="624" t="s">
        <v>556</v>
      </c>
      <c r="AC158" s="625">
        <v>89</v>
      </c>
      <c r="AD158" s="625">
        <v>89.7</v>
      </c>
      <c r="AE158" s="801">
        <v>28.5</v>
      </c>
      <c r="AF158" s="802">
        <v>28.5</v>
      </c>
      <c r="AG158" s="802">
        <v>3.62</v>
      </c>
      <c r="AH158" s="802" t="s">
        <v>448</v>
      </c>
      <c r="AI158" s="802">
        <v>46</v>
      </c>
      <c r="AJ158" s="802">
        <v>71.099999999999994</v>
      </c>
      <c r="AK158" s="802">
        <v>3</v>
      </c>
      <c r="AL158" s="802">
        <v>5.32</v>
      </c>
      <c r="AM158" s="802" t="s">
        <v>606</v>
      </c>
      <c r="AN158" s="803">
        <f t="shared" si="19"/>
        <v>63480</v>
      </c>
      <c r="AO158" s="792">
        <f t="shared" si="16"/>
        <v>9230</v>
      </c>
      <c r="AP158" s="792">
        <f t="shared" si="17"/>
        <v>27690</v>
      </c>
      <c r="AQ158" s="793">
        <f>AQ157</f>
        <v>92300</v>
      </c>
      <c r="AR158" s="1088"/>
      <c r="AS158" s="804" t="s">
        <v>450</v>
      </c>
      <c r="AT158" s="804">
        <v>4.37</v>
      </c>
      <c r="AU158" s="794">
        <v>8100</v>
      </c>
      <c r="AV158" s="795">
        <f t="shared" si="15"/>
        <v>100400</v>
      </c>
      <c r="AW158" s="786"/>
      <c r="AX158" s="616"/>
      <c r="AY158" s="788"/>
      <c r="AZ158" s="787"/>
    </row>
    <row r="159" spans="2:52" x14ac:dyDescent="0.25">
      <c r="B159" s="606"/>
      <c r="C159" s="607"/>
      <c r="D159" s="632"/>
      <c r="E159" s="698"/>
      <c r="F159" s="698"/>
      <c r="G159" s="609"/>
      <c r="H159" s="610"/>
      <c r="I159" s="611"/>
      <c r="J159" s="698"/>
      <c r="K159" s="698"/>
      <c r="L159" s="606"/>
      <c r="M159" s="607"/>
      <c r="N159" s="611"/>
      <c r="O159" s="612"/>
      <c r="P159" s="613"/>
      <c r="Q159" s="614"/>
      <c r="R159" s="741"/>
      <c r="S159" s="636"/>
      <c r="T159" s="743"/>
      <c r="U159" s="724"/>
      <c r="Y159" s="724"/>
      <c r="Z159" s="724"/>
      <c r="AA159" s="789">
        <v>80</v>
      </c>
      <c r="AB159" s="624" t="s">
        <v>557</v>
      </c>
      <c r="AC159" s="625">
        <v>97</v>
      </c>
      <c r="AD159" s="625">
        <v>97.5</v>
      </c>
      <c r="AE159" s="801">
        <v>38.4</v>
      </c>
      <c r="AF159" s="802">
        <v>38.4</v>
      </c>
      <c r="AG159" s="802">
        <v>2.41</v>
      </c>
      <c r="AH159" s="802" t="s">
        <v>448</v>
      </c>
      <c r="AI159" s="802">
        <v>65</v>
      </c>
      <c r="AJ159" s="802">
        <v>70.7</v>
      </c>
      <c r="AK159" s="802">
        <v>3</v>
      </c>
      <c r="AL159" s="802">
        <v>4.1100000000000003</v>
      </c>
      <c r="AM159" s="802" t="s">
        <v>607</v>
      </c>
      <c r="AN159" s="803">
        <f t="shared" si="19"/>
        <v>77160</v>
      </c>
      <c r="AO159" s="792">
        <f t="shared" si="16"/>
        <v>11510</v>
      </c>
      <c r="AP159" s="792">
        <f t="shared" si="17"/>
        <v>34530</v>
      </c>
      <c r="AQ159" s="793">
        <v>115100</v>
      </c>
      <c r="AR159" s="1088"/>
      <c r="AS159" s="804" t="s">
        <v>450</v>
      </c>
      <c r="AT159" s="804">
        <v>3.16</v>
      </c>
      <c r="AU159" s="794">
        <v>8100</v>
      </c>
      <c r="AV159" s="795">
        <f t="shared" si="15"/>
        <v>123200</v>
      </c>
      <c r="AW159" s="786"/>
      <c r="AX159" s="616"/>
      <c r="AY159" s="788"/>
      <c r="AZ159" s="787"/>
    </row>
    <row r="160" spans="2:52" x14ac:dyDescent="0.25">
      <c r="B160" s="1086"/>
      <c r="C160" s="607"/>
      <c r="D160" s="632"/>
      <c r="E160" s="633"/>
      <c r="F160" s="805"/>
      <c r="G160" s="633"/>
      <c r="H160" s="629"/>
      <c r="I160" s="632"/>
      <c r="J160" s="628"/>
      <c r="K160" s="628"/>
      <c r="L160" s="634"/>
      <c r="M160" s="633"/>
      <c r="N160" s="635"/>
      <c r="O160" s="635"/>
      <c r="P160" s="634"/>
      <c r="Q160" s="806"/>
      <c r="R160" s="807"/>
      <c r="S160" s="636"/>
      <c r="T160" s="743"/>
      <c r="U160" s="724"/>
      <c r="Y160" s="724"/>
      <c r="Z160" s="640"/>
      <c r="AA160" s="789">
        <v>81</v>
      </c>
      <c r="AB160" s="624" t="s">
        <v>558</v>
      </c>
      <c r="AC160" s="790">
        <v>7.6</v>
      </c>
      <c r="AD160" s="796">
        <v>17</v>
      </c>
      <c r="AE160" s="790">
        <v>2.1</v>
      </c>
      <c r="AF160" s="802"/>
      <c r="AG160" s="802"/>
      <c r="AH160" s="802"/>
      <c r="AI160" s="802"/>
      <c r="AJ160" s="802"/>
      <c r="AK160" s="802"/>
      <c r="AL160" s="802"/>
      <c r="AM160" s="802"/>
      <c r="AN160" s="803">
        <f t="shared" si="19"/>
        <v>30861.599999999999</v>
      </c>
      <c r="AO160" s="792">
        <f t="shared" si="16"/>
        <v>5143.6000000000004</v>
      </c>
      <c r="AP160" s="792">
        <f t="shared" si="17"/>
        <v>15430.8</v>
      </c>
      <c r="AQ160" s="808">
        <f>AQ126</f>
        <v>51436</v>
      </c>
      <c r="AR160" s="1088"/>
      <c r="AS160" s="804"/>
      <c r="AT160" s="804"/>
      <c r="AU160" s="794">
        <v>0</v>
      </c>
      <c r="AV160" s="795">
        <f t="shared" si="15"/>
        <v>51436</v>
      </c>
      <c r="AW160" s="786"/>
      <c r="AX160" s="616"/>
      <c r="AY160" s="788"/>
      <c r="AZ160" s="787"/>
    </row>
    <row r="161" spans="2:54" x14ac:dyDescent="0.25">
      <c r="B161" s="1086"/>
      <c r="C161" s="607"/>
      <c r="D161" s="632"/>
      <c r="E161" s="633"/>
      <c r="F161" s="628"/>
      <c r="G161" s="633"/>
      <c r="H161" s="629"/>
      <c r="I161" s="632"/>
      <c r="J161" s="628"/>
      <c r="K161" s="628"/>
      <c r="L161" s="634"/>
      <c r="M161" s="633"/>
      <c r="N161" s="635"/>
      <c r="O161" s="635"/>
      <c r="P161" s="634"/>
      <c r="Q161" s="806"/>
      <c r="R161" s="807"/>
      <c r="S161" s="636"/>
      <c r="T161" s="743"/>
      <c r="U161" s="724"/>
      <c r="Y161" s="724"/>
      <c r="Z161" s="724"/>
      <c r="AA161" s="789">
        <v>82</v>
      </c>
      <c r="AB161" s="624" t="s">
        <v>559</v>
      </c>
      <c r="AC161" s="790">
        <v>10.199999999999999</v>
      </c>
      <c r="AD161" s="624">
        <v>6</v>
      </c>
      <c r="AE161" s="790">
        <v>3</v>
      </c>
      <c r="AF161" s="802"/>
      <c r="AG161" s="802"/>
      <c r="AH161" s="802"/>
      <c r="AI161" s="802"/>
      <c r="AJ161" s="802"/>
      <c r="AK161" s="802"/>
      <c r="AL161" s="802"/>
      <c r="AM161" s="802"/>
      <c r="AN161" s="803">
        <f t="shared" si="19"/>
        <v>32502</v>
      </c>
      <c r="AO161" s="792">
        <f t="shared" si="16"/>
        <v>5417</v>
      </c>
      <c r="AP161" s="792">
        <f t="shared" si="17"/>
        <v>16251</v>
      </c>
      <c r="AQ161" s="808">
        <f>AQ132</f>
        <v>54170</v>
      </c>
      <c r="AR161" s="1088"/>
      <c r="AS161" s="804"/>
      <c r="AT161" s="804"/>
      <c r="AU161" s="794">
        <v>0</v>
      </c>
      <c r="AV161" s="795">
        <f t="shared" si="15"/>
        <v>54170</v>
      </c>
      <c r="AW161" s="786"/>
      <c r="AX161" s="616"/>
      <c r="AY161" s="788"/>
      <c r="AZ161" s="787"/>
    </row>
    <row r="162" spans="2:54" ht="24" x14ac:dyDescent="0.25">
      <c r="B162" s="744"/>
      <c r="C162" s="628"/>
      <c r="D162" s="632"/>
      <c r="E162" s="633"/>
      <c r="F162" s="628"/>
      <c r="G162" s="633"/>
      <c r="H162" s="629"/>
      <c r="I162" s="632"/>
      <c r="J162" s="628"/>
      <c r="K162" s="628"/>
      <c r="L162" s="634"/>
      <c r="M162" s="633"/>
      <c r="N162" s="635"/>
      <c r="O162" s="635"/>
      <c r="P162" s="634"/>
      <c r="Q162" s="806"/>
      <c r="R162" s="807"/>
      <c r="S162" s="636"/>
      <c r="T162" s="743"/>
      <c r="U162" s="724"/>
      <c r="Y162" s="724"/>
      <c r="Z162" s="724"/>
      <c r="AA162" s="809">
        <v>83</v>
      </c>
      <c r="AB162" s="810" t="s">
        <v>608</v>
      </c>
      <c r="AC162" s="811">
        <v>3</v>
      </c>
      <c r="AD162" s="811">
        <v>16</v>
      </c>
      <c r="AE162" s="811">
        <v>16</v>
      </c>
      <c r="AF162" s="804"/>
      <c r="AG162" s="804"/>
      <c r="AH162" s="804"/>
      <c r="AI162" s="804"/>
      <c r="AJ162" s="804"/>
      <c r="AK162" s="804"/>
      <c r="AL162" s="804"/>
      <c r="AM162" s="804"/>
      <c r="AN162" s="812">
        <f t="shared" si="19"/>
        <v>31620</v>
      </c>
      <c r="AO162" s="792">
        <f t="shared" si="16"/>
        <v>5270</v>
      </c>
      <c r="AP162" s="792">
        <f t="shared" si="17"/>
        <v>15810</v>
      </c>
      <c r="AQ162" s="813">
        <f>AQ111</f>
        <v>52700</v>
      </c>
      <c r="AR162" s="1088"/>
      <c r="AS162" s="804"/>
      <c r="AT162" s="804"/>
      <c r="AU162" s="794">
        <v>0</v>
      </c>
      <c r="AV162" s="795">
        <f t="shared" si="15"/>
        <v>52700</v>
      </c>
      <c r="AW162" s="786"/>
      <c r="AX162" s="616"/>
      <c r="AY162" s="616"/>
      <c r="AZ162" s="616"/>
    </row>
    <row r="163" spans="2:54" ht="24" x14ac:dyDescent="0.25">
      <c r="B163" s="744"/>
      <c r="C163" s="628"/>
      <c r="D163" s="632"/>
      <c r="E163" s="628"/>
      <c r="F163" s="628"/>
      <c r="G163" s="633"/>
      <c r="H163" s="747"/>
      <c r="I163" s="746"/>
      <c r="J163" s="741"/>
      <c r="K163" s="745"/>
      <c r="L163" s="743"/>
      <c r="M163" s="640"/>
      <c r="N163" s="742"/>
      <c r="O163" s="742"/>
      <c r="P163" s="743"/>
      <c r="Q163" s="814"/>
      <c r="R163" s="807"/>
      <c r="S163" s="636"/>
      <c r="T163" s="743"/>
      <c r="U163" s="724"/>
      <c r="Y163" s="724"/>
      <c r="Z163" s="724"/>
      <c r="AA163" s="809">
        <v>84</v>
      </c>
      <c r="AB163" s="810" t="s">
        <v>609</v>
      </c>
      <c r="AC163" s="811">
        <v>37.18</v>
      </c>
      <c r="AD163" s="811">
        <v>31</v>
      </c>
      <c r="AE163" s="811">
        <v>31</v>
      </c>
      <c r="AF163" s="804"/>
      <c r="AG163" s="804"/>
      <c r="AH163" s="804"/>
      <c r="AI163" s="804"/>
      <c r="AJ163" s="804"/>
      <c r="AK163" s="804"/>
      <c r="AL163" s="804"/>
      <c r="AM163" s="804"/>
      <c r="AN163" s="812">
        <f t="shared" si="19"/>
        <v>59880</v>
      </c>
      <c r="AO163" s="792">
        <f t="shared" si="16"/>
        <v>8630</v>
      </c>
      <c r="AP163" s="792">
        <f t="shared" si="17"/>
        <v>25890</v>
      </c>
      <c r="AQ163" s="813">
        <f>AQ152</f>
        <v>86300</v>
      </c>
      <c r="AR163" s="1088"/>
      <c r="AS163" s="804"/>
      <c r="AT163" s="804"/>
      <c r="AU163" s="794">
        <v>8100</v>
      </c>
      <c r="AV163" s="795">
        <f t="shared" si="15"/>
        <v>94400</v>
      </c>
      <c r="AW163" s="786"/>
      <c r="AX163" s="616"/>
      <c r="AY163" s="616"/>
      <c r="AZ163" s="616"/>
    </row>
    <row r="164" spans="2:54" ht="24" x14ac:dyDescent="0.25">
      <c r="B164" s="744"/>
      <c r="C164" s="628"/>
      <c r="D164" s="632"/>
      <c r="E164" s="628"/>
      <c r="F164" s="628"/>
      <c r="G164" s="633"/>
      <c r="H164" s="747"/>
      <c r="I164" s="746"/>
      <c r="J164" s="741"/>
      <c r="K164" s="745"/>
      <c r="L164" s="743"/>
      <c r="M164" s="640"/>
      <c r="N164" s="742"/>
      <c r="O164" s="742"/>
      <c r="P164" s="743"/>
      <c r="Q164" s="814"/>
      <c r="R164" s="807"/>
      <c r="S164" s="636"/>
      <c r="T164" s="743"/>
      <c r="U164" s="724"/>
      <c r="Y164" s="724"/>
      <c r="Z164" s="724"/>
      <c r="AA164" s="809">
        <v>85</v>
      </c>
      <c r="AB164" s="810" t="s">
        <v>610</v>
      </c>
      <c r="AC164" s="811">
        <v>3</v>
      </c>
      <c r="AD164" s="811">
        <v>15</v>
      </c>
      <c r="AE164" s="811">
        <v>15</v>
      </c>
      <c r="AF164" s="804"/>
      <c r="AG164" s="804"/>
      <c r="AH164" s="804"/>
      <c r="AI164" s="804"/>
      <c r="AJ164" s="804"/>
      <c r="AK164" s="804"/>
      <c r="AL164" s="804"/>
      <c r="AM164" s="804"/>
      <c r="AN164" s="812">
        <f t="shared" si="19"/>
        <v>31380</v>
      </c>
      <c r="AO164" s="792">
        <f t="shared" si="16"/>
        <v>5230</v>
      </c>
      <c r="AP164" s="792">
        <f t="shared" si="17"/>
        <v>15690</v>
      </c>
      <c r="AQ164" s="813">
        <f>AQ110</f>
        <v>52300</v>
      </c>
      <c r="AR164" s="1088"/>
      <c r="AS164" s="804"/>
      <c r="AT164" s="804"/>
      <c r="AU164" s="794">
        <v>0</v>
      </c>
      <c r="AV164" s="795">
        <f t="shared" si="15"/>
        <v>52300</v>
      </c>
      <c r="AW164" s="786"/>
      <c r="AX164" s="616"/>
      <c r="AY164" s="616"/>
      <c r="AZ164" s="616"/>
    </row>
    <row r="165" spans="2:54" ht="24" x14ac:dyDescent="0.25">
      <c r="B165" s="744"/>
      <c r="C165" s="628"/>
      <c r="D165" s="632"/>
      <c r="E165" s="633"/>
      <c r="F165" s="628"/>
      <c r="G165" s="633"/>
      <c r="H165" s="747"/>
      <c r="I165" s="746"/>
      <c r="J165" s="741"/>
      <c r="K165" s="745"/>
      <c r="L165" s="743"/>
      <c r="M165" s="640"/>
      <c r="N165" s="742"/>
      <c r="O165" s="742"/>
      <c r="P165" s="743"/>
      <c r="Q165" s="814"/>
      <c r="R165" s="741"/>
      <c r="S165" s="636"/>
      <c r="T165" s="743"/>
      <c r="U165" s="724"/>
      <c r="Y165" s="724"/>
      <c r="Z165" s="724"/>
      <c r="AA165" s="809">
        <v>86</v>
      </c>
      <c r="AB165" s="810" t="s">
        <v>611</v>
      </c>
      <c r="AC165" s="811">
        <v>3</v>
      </c>
      <c r="AD165" s="811">
        <v>11</v>
      </c>
      <c r="AE165" s="811">
        <v>11</v>
      </c>
      <c r="AF165" s="804"/>
      <c r="AG165" s="804"/>
      <c r="AH165" s="804"/>
      <c r="AI165" s="804"/>
      <c r="AJ165" s="804"/>
      <c r="AK165" s="804"/>
      <c r="AL165" s="804"/>
      <c r="AM165" s="804"/>
      <c r="AN165" s="812">
        <f t="shared" si="19"/>
        <v>31620</v>
      </c>
      <c r="AO165" s="792">
        <f t="shared" si="16"/>
        <v>5270</v>
      </c>
      <c r="AP165" s="792">
        <f t="shared" si="17"/>
        <v>15810</v>
      </c>
      <c r="AQ165" s="813">
        <f>AQ111</f>
        <v>52700</v>
      </c>
      <c r="AR165" s="1088"/>
      <c r="AS165" s="804"/>
      <c r="AT165" s="804"/>
      <c r="AU165" s="794">
        <v>0</v>
      </c>
      <c r="AV165" s="795">
        <f t="shared" si="15"/>
        <v>52700</v>
      </c>
      <c r="AW165" s="786"/>
      <c r="AX165" s="616"/>
      <c r="AY165" s="616"/>
      <c r="AZ165" s="616"/>
    </row>
    <row r="166" spans="2:54" ht="24" x14ac:dyDescent="0.25">
      <c r="B166" s="744"/>
      <c r="C166" s="726"/>
      <c r="D166" s="727"/>
      <c r="E166" s="728"/>
      <c r="F166" s="726"/>
      <c r="G166" s="728"/>
      <c r="H166" s="747"/>
      <c r="I166" s="746"/>
      <c r="J166" s="741"/>
      <c r="K166" s="745"/>
      <c r="L166" s="743"/>
      <c r="M166" s="640"/>
      <c r="N166" s="742"/>
      <c r="O166" s="742"/>
      <c r="P166" s="743"/>
      <c r="Q166" s="640"/>
      <c r="R166" s="741"/>
      <c r="S166" s="636"/>
      <c r="T166" s="743"/>
      <c r="U166" s="724"/>
      <c r="Y166" s="724"/>
      <c r="Z166" s="724"/>
      <c r="AA166" s="809">
        <v>87</v>
      </c>
      <c r="AB166" s="810" t="s">
        <v>612</v>
      </c>
      <c r="AC166" s="811">
        <v>3</v>
      </c>
      <c r="AD166" s="811">
        <v>17</v>
      </c>
      <c r="AE166" s="811">
        <v>17</v>
      </c>
      <c r="AF166" s="804"/>
      <c r="AG166" s="804"/>
      <c r="AH166" s="804"/>
      <c r="AI166" s="804"/>
      <c r="AJ166" s="804"/>
      <c r="AK166" s="804"/>
      <c r="AL166" s="804"/>
      <c r="AM166" s="804"/>
      <c r="AN166" s="812">
        <f t="shared" si="19"/>
        <v>31620</v>
      </c>
      <c r="AO166" s="792">
        <f t="shared" si="16"/>
        <v>5270</v>
      </c>
      <c r="AP166" s="792">
        <f t="shared" si="17"/>
        <v>15810</v>
      </c>
      <c r="AQ166" s="813">
        <f>AQ162</f>
        <v>52700</v>
      </c>
      <c r="AR166" s="1088"/>
      <c r="AS166" s="804"/>
      <c r="AT166" s="804"/>
      <c r="AU166" s="794">
        <v>0</v>
      </c>
      <c r="AV166" s="795">
        <f t="shared" si="15"/>
        <v>52700</v>
      </c>
      <c r="AW166" s="786"/>
      <c r="AX166" s="616"/>
      <c r="AY166" s="616"/>
      <c r="AZ166" s="616"/>
    </row>
    <row r="167" spans="2:54" ht="24" x14ac:dyDescent="0.25">
      <c r="B167" s="1083"/>
      <c r="C167" s="628"/>
      <c r="D167" s="632"/>
      <c r="E167" s="628"/>
      <c r="F167" s="628"/>
      <c r="G167" s="633"/>
      <c r="H167" s="641"/>
      <c r="I167" s="746"/>
      <c r="J167" s="741"/>
      <c r="K167" s="745"/>
      <c r="L167" s="743"/>
      <c r="M167" s="640"/>
      <c r="N167" s="742"/>
      <c r="O167" s="742"/>
      <c r="P167" s="743"/>
      <c r="Q167" s="640"/>
      <c r="R167" s="741"/>
      <c r="S167" s="636"/>
      <c r="T167" s="743"/>
      <c r="U167" s="724"/>
      <c r="Y167" s="724"/>
      <c r="Z167" s="724"/>
      <c r="AA167" s="809">
        <v>88</v>
      </c>
      <c r="AB167" s="810" t="s">
        <v>613</v>
      </c>
      <c r="AC167" s="811">
        <v>40.28</v>
      </c>
      <c r="AD167" s="811">
        <v>21</v>
      </c>
      <c r="AE167" s="811">
        <v>21</v>
      </c>
      <c r="AF167" s="804"/>
      <c r="AG167" s="804"/>
      <c r="AH167" s="804"/>
      <c r="AI167" s="804"/>
      <c r="AJ167" s="804"/>
      <c r="AK167" s="804"/>
      <c r="AL167" s="804"/>
      <c r="AM167" s="804"/>
      <c r="AN167" s="812">
        <f t="shared" si="19"/>
        <v>59880</v>
      </c>
      <c r="AO167" s="792">
        <f t="shared" si="16"/>
        <v>8630</v>
      </c>
      <c r="AP167" s="792">
        <f t="shared" si="17"/>
        <v>25890</v>
      </c>
      <c r="AQ167" s="813">
        <f>AQ163</f>
        <v>86300</v>
      </c>
      <c r="AR167" s="1088"/>
      <c r="AS167" s="804"/>
      <c r="AT167" s="804"/>
      <c r="AU167" s="794">
        <v>8100</v>
      </c>
      <c r="AV167" s="795">
        <f t="shared" si="15"/>
        <v>94400</v>
      </c>
      <c r="AW167" s="786"/>
      <c r="AX167" s="616"/>
      <c r="AY167" s="616"/>
      <c r="AZ167" s="616"/>
    </row>
    <row r="168" spans="2:54" ht="24" x14ac:dyDescent="0.25">
      <c r="B168" s="1083"/>
      <c r="C168" s="628"/>
      <c r="D168" s="632"/>
      <c r="E168" s="628"/>
      <c r="F168" s="628"/>
      <c r="G168" s="633"/>
      <c r="H168" s="641"/>
      <c r="I168" s="746"/>
      <c r="J168" s="741"/>
      <c r="K168" s="745"/>
      <c r="L168" s="743"/>
      <c r="M168" s="640"/>
      <c r="N168" s="742"/>
      <c r="O168" s="742"/>
      <c r="P168" s="743"/>
      <c r="Q168" s="640"/>
      <c r="R168" s="741"/>
      <c r="S168" s="636"/>
      <c r="T168" s="743"/>
      <c r="U168" s="724"/>
      <c r="Y168" s="724"/>
      <c r="Z168" s="724"/>
      <c r="AA168" s="809">
        <v>89</v>
      </c>
      <c r="AB168" s="810" t="s">
        <v>614</v>
      </c>
      <c r="AC168" s="811">
        <v>63.06</v>
      </c>
      <c r="AD168" s="811">
        <v>18</v>
      </c>
      <c r="AE168" s="811">
        <v>18</v>
      </c>
      <c r="AF168" s="804"/>
      <c r="AG168" s="804"/>
      <c r="AH168" s="804"/>
      <c r="AI168" s="804"/>
      <c r="AJ168" s="804"/>
      <c r="AK168" s="804"/>
      <c r="AL168" s="804"/>
      <c r="AM168" s="804"/>
      <c r="AN168" s="812">
        <f t="shared" si="19"/>
        <v>70412.399999999994</v>
      </c>
      <c r="AO168" s="792">
        <f t="shared" si="16"/>
        <v>10385.400000000001</v>
      </c>
      <c r="AP168" s="792">
        <f t="shared" si="17"/>
        <v>31156.199999999997</v>
      </c>
      <c r="AQ168" s="813">
        <v>103854</v>
      </c>
      <c r="AR168" s="1088"/>
      <c r="AS168" s="804"/>
      <c r="AT168" s="804"/>
      <c r="AU168" s="794">
        <v>8100</v>
      </c>
      <c r="AV168" s="795">
        <f t="shared" si="15"/>
        <v>111953.99999999999</v>
      </c>
      <c r="AW168" s="786"/>
      <c r="AX168" s="616"/>
      <c r="AY168" s="616"/>
      <c r="AZ168" s="616"/>
    </row>
    <row r="169" spans="2:54" ht="24.75" thickBot="1" x14ac:dyDescent="0.3">
      <c r="B169" s="1083"/>
      <c r="C169" s="628"/>
      <c r="D169" s="632"/>
      <c r="E169" s="633"/>
      <c r="F169" s="628"/>
      <c r="G169" s="633"/>
      <c r="H169" s="641"/>
      <c r="I169" s="746"/>
      <c r="J169" s="741"/>
      <c r="K169" s="745"/>
      <c r="L169" s="743"/>
      <c r="M169" s="640"/>
      <c r="N169" s="742"/>
      <c r="O169" s="742"/>
      <c r="P169" s="743"/>
      <c r="Q169" s="640"/>
      <c r="R169" s="741"/>
      <c r="S169" s="636"/>
      <c r="T169" s="743"/>
      <c r="U169" s="724"/>
      <c r="Y169" s="724"/>
      <c r="Z169" s="724"/>
      <c r="AA169" s="815">
        <v>90</v>
      </c>
      <c r="AB169" s="816" t="s">
        <v>615</v>
      </c>
      <c r="AC169" s="817">
        <v>64.400000000000006</v>
      </c>
      <c r="AD169" s="817">
        <v>39</v>
      </c>
      <c r="AE169" s="817">
        <v>39</v>
      </c>
      <c r="AF169" s="818"/>
      <c r="AG169" s="818"/>
      <c r="AH169" s="818"/>
      <c r="AI169" s="818"/>
      <c r="AJ169" s="818"/>
      <c r="AK169" s="818"/>
      <c r="AL169" s="818"/>
      <c r="AM169" s="818"/>
      <c r="AN169" s="819">
        <f t="shared" si="19"/>
        <v>74955</v>
      </c>
      <c r="AO169" s="820">
        <f t="shared" si="16"/>
        <v>11142.5</v>
      </c>
      <c r="AP169" s="820">
        <f t="shared" si="17"/>
        <v>33427.5</v>
      </c>
      <c r="AQ169" s="821">
        <v>111425</v>
      </c>
      <c r="AR169" s="1089"/>
      <c r="AS169" s="818"/>
      <c r="AT169" s="818"/>
      <c r="AU169" s="822">
        <v>8100</v>
      </c>
      <c r="AV169" s="795">
        <f t="shared" si="15"/>
        <v>119525</v>
      </c>
      <c r="AW169" s="786"/>
      <c r="AX169" s="616"/>
      <c r="AY169" s="616"/>
      <c r="AZ169" s="616"/>
    </row>
    <row r="170" spans="2:54" x14ac:dyDescent="0.25">
      <c r="B170" s="637"/>
      <c r="C170" s="628"/>
      <c r="D170" s="632"/>
      <c r="E170" s="638"/>
      <c r="F170" s="628"/>
      <c r="G170" s="633"/>
      <c r="H170" s="641"/>
      <c r="I170" s="746"/>
      <c r="J170" s="741"/>
      <c r="K170" s="745"/>
      <c r="L170" s="743"/>
      <c r="M170" s="640"/>
      <c r="N170" s="742"/>
      <c r="O170" s="742"/>
      <c r="P170" s="743"/>
      <c r="Q170" s="640"/>
      <c r="R170" s="741"/>
      <c r="S170" s="636"/>
      <c r="T170" s="743"/>
      <c r="U170" s="724"/>
      <c r="Y170" s="724"/>
      <c r="Z170" s="724"/>
      <c r="AA170" s="754"/>
      <c r="AB170" s="754"/>
      <c r="AC170" s="754"/>
      <c r="AD170" s="754"/>
      <c r="AE170" s="754"/>
      <c r="AF170" s="754"/>
      <c r="AG170" s="754"/>
      <c r="AH170" s="754"/>
      <c r="AI170" s="754"/>
      <c r="AJ170" s="754"/>
      <c r="AK170" s="754"/>
      <c r="AL170" s="754"/>
      <c r="AM170" s="754"/>
      <c r="AN170" s="754"/>
      <c r="AO170" s="754"/>
      <c r="AP170" s="754"/>
      <c r="AQ170" s="754"/>
      <c r="AR170" s="754"/>
      <c r="AS170" s="754"/>
      <c r="AT170" s="754"/>
      <c r="AU170" s="754"/>
      <c r="AV170" s="754"/>
      <c r="AW170" s="754"/>
      <c r="AX170" s="754"/>
      <c r="AY170" s="754"/>
      <c r="AZ170" s="754"/>
    </row>
    <row r="171" spans="2:54" x14ac:dyDescent="0.25">
      <c r="B171" s="637"/>
      <c r="C171" s="628"/>
      <c r="D171" s="632"/>
      <c r="E171" s="638"/>
      <c r="F171" s="628"/>
      <c r="G171" s="633"/>
      <c r="H171" s="641"/>
      <c r="I171" s="746"/>
      <c r="J171" s="741"/>
      <c r="K171" s="745"/>
      <c r="L171" s="743"/>
      <c r="M171" s="640"/>
      <c r="N171" s="742"/>
      <c r="O171" s="742"/>
      <c r="P171" s="743"/>
      <c r="Q171" s="640"/>
      <c r="R171" s="741"/>
      <c r="S171" s="636"/>
      <c r="T171" s="743"/>
      <c r="U171" s="724"/>
      <c r="Y171" s="724"/>
      <c r="Z171" s="724"/>
      <c r="AA171" s="754"/>
      <c r="AB171" s="754"/>
      <c r="AC171" s="754"/>
      <c r="AD171" s="754"/>
      <c r="AE171" s="754"/>
      <c r="AF171" s="754"/>
      <c r="AG171" s="754"/>
      <c r="AH171" s="754"/>
      <c r="AI171" s="754"/>
      <c r="AJ171" s="754"/>
      <c r="AK171" s="754"/>
      <c r="AL171" s="754"/>
      <c r="AM171" s="754"/>
      <c r="AN171" s="754"/>
      <c r="AO171" s="754"/>
      <c r="AP171" s="754"/>
      <c r="AQ171" s="754"/>
      <c r="AR171" s="754"/>
      <c r="AS171" s="754"/>
      <c r="AT171" s="754"/>
      <c r="AU171" s="754"/>
      <c r="AV171" s="754"/>
      <c r="AW171" s="754"/>
      <c r="AX171" s="754"/>
      <c r="AY171" s="754"/>
      <c r="AZ171" s="754"/>
      <c r="BA171" s="754"/>
      <c r="BB171" s="754"/>
    </row>
    <row r="172" spans="2:54" x14ac:dyDescent="0.25">
      <c r="B172" s="637"/>
      <c r="C172" s="628"/>
      <c r="D172" s="632"/>
      <c r="E172" s="638"/>
      <c r="F172" s="628"/>
      <c r="G172" s="633"/>
      <c r="H172" s="641"/>
      <c r="I172" s="746"/>
      <c r="J172" s="741"/>
      <c r="K172" s="745"/>
      <c r="L172" s="743"/>
      <c r="M172" s="640"/>
      <c r="N172" s="742"/>
      <c r="O172" s="742"/>
      <c r="P172" s="743"/>
      <c r="Q172" s="640"/>
      <c r="R172" s="741"/>
      <c r="S172" s="636"/>
      <c r="T172" s="743"/>
      <c r="U172" s="724"/>
      <c r="Y172" s="724"/>
      <c r="Z172" s="724"/>
      <c r="AA172" s="754"/>
      <c r="AB172" s="754"/>
      <c r="AC172" s="754"/>
      <c r="AD172" s="754"/>
      <c r="AE172" s="754"/>
      <c r="AF172" s="754"/>
      <c r="AG172" s="754"/>
      <c r="AH172" s="754"/>
      <c r="AI172" s="754"/>
      <c r="AJ172" s="754"/>
      <c r="AK172" s="754"/>
      <c r="AL172" s="754"/>
      <c r="AM172" s="754"/>
      <c r="AN172" s="754"/>
      <c r="AO172" s="754"/>
      <c r="AP172" s="754"/>
      <c r="AQ172" s="754"/>
      <c r="AR172" s="754"/>
      <c r="AS172" s="754"/>
      <c r="AT172" s="754"/>
      <c r="AU172" s="754"/>
      <c r="AV172" s="754"/>
      <c r="AW172" s="754"/>
      <c r="AX172" s="754"/>
      <c r="AY172" s="754"/>
      <c r="AZ172" s="754"/>
      <c r="BA172" s="754"/>
      <c r="BB172" s="754"/>
    </row>
    <row r="173" spans="2:54" x14ac:dyDescent="0.25">
      <c r="B173" s="637"/>
      <c r="C173" s="628"/>
      <c r="D173" s="632"/>
      <c r="E173" s="638"/>
      <c r="F173" s="628"/>
      <c r="G173" s="633"/>
      <c r="H173" s="641"/>
      <c r="I173" s="746"/>
      <c r="J173" s="741"/>
      <c r="K173" s="745"/>
      <c r="L173" s="743"/>
      <c r="M173" s="640"/>
      <c r="N173" s="742"/>
      <c r="O173" s="742"/>
      <c r="P173" s="743"/>
      <c r="Q173" s="640"/>
      <c r="R173" s="741"/>
      <c r="S173" s="636"/>
      <c r="T173" s="743"/>
      <c r="U173" s="724"/>
      <c r="Y173" s="724"/>
      <c r="Z173" s="724"/>
      <c r="AA173" s="754"/>
      <c r="AB173" s="754"/>
      <c r="AC173" s="754"/>
      <c r="AD173" s="754"/>
      <c r="AE173" s="754"/>
      <c r="AF173" s="754"/>
      <c r="AG173" s="754"/>
      <c r="AH173" s="754"/>
      <c r="AI173" s="754"/>
      <c r="AJ173" s="754"/>
      <c r="AK173" s="754"/>
      <c r="AL173" s="754"/>
      <c r="AM173" s="754"/>
      <c r="AN173" s="754"/>
      <c r="AO173" s="754"/>
      <c r="AP173" s="754"/>
      <c r="AQ173" s="754"/>
      <c r="AR173" s="754"/>
      <c r="AS173" s="754"/>
      <c r="AT173" s="754"/>
      <c r="AU173" s="754"/>
      <c r="AV173" s="754"/>
      <c r="AW173" s="754"/>
      <c r="AX173" s="754"/>
      <c r="AY173" s="754"/>
      <c r="AZ173" s="754"/>
      <c r="BA173" s="754"/>
      <c r="BB173" s="754"/>
    </row>
    <row r="174" spans="2:54" x14ac:dyDescent="0.25">
      <c r="B174" s="637"/>
      <c r="C174" s="628"/>
      <c r="D174" s="632"/>
      <c r="E174" s="638"/>
      <c r="F174" s="628"/>
      <c r="G174" s="633"/>
      <c r="H174" s="641"/>
      <c r="I174" s="746"/>
      <c r="J174" s="741"/>
      <c r="K174" s="745"/>
      <c r="L174" s="743"/>
      <c r="M174" s="640"/>
      <c r="N174" s="742"/>
      <c r="O174" s="742"/>
      <c r="P174" s="743"/>
      <c r="Q174" s="640"/>
      <c r="R174" s="741"/>
      <c r="S174" s="636"/>
      <c r="T174" s="743"/>
      <c r="U174" s="724"/>
      <c r="Y174" s="724"/>
      <c r="Z174" s="724"/>
      <c r="AA174" s="754"/>
      <c r="AB174" s="754"/>
      <c r="AC174" s="754"/>
      <c r="AD174" s="754"/>
      <c r="AE174" s="754"/>
      <c r="AF174" s="754"/>
      <c r="AG174" s="754"/>
      <c r="AH174" s="754"/>
      <c r="AI174" s="754"/>
      <c r="AJ174" s="754"/>
      <c r="AK174" s="754"/>
      <c r="AL174" s="754"/>
      <c r="AM174" s="754"/>
      <c r="AN174" s="754"/>
      <c r="AO174" s="754"/>
      <c r="AP174" s="754"/>
      <c r="AQ174" s="754"/>
      <c r="AR174" s="754"/>
      <c r="AS174" s="754"/>
      <c r="AT174" s="754"/>
      <c r="AU174" s="754"/>
      <c r="AV174" s="754"/>
      <c r="AW174" s="754"/>
      <c r="AX174" s="754"/>
      <c r="AY174" s="754"/>
      <c r="AZ174" s="754"/>
      <c r="BA174" s="754"/>
      <c r="BB174" s="754"/>
    </row>
    <row r="175" spans="2:54" x14ac:dyDescent="0.25">
      <c r="B175" s="1084"/>
      <c r="C175" s="628"/>
      <c r="D175" s="632"/>
      <c r="E175" s="638"/>
      <c r="F175" s="628"/>
      <c r="G175" s="633"/>
      <c r="H175" s="641"/>
      <c r="I175" s="746"/>
      <c r="J175" s="741"/>
      <c r="K175" s="745"/>
      <c r="L175" s="743"/>
      <c r="M175" s="640"/>
      <c r="N175" s="742"/>
      <c r="O175" s="742"/>
      <c r="P175" s="743"/>
      <c r="Q175" s="640"/>
      <c r="R175" s="741"/>
      <c r="S175" s="636"/>
      <c r="T175" s="743"/>
      <c r="U175" s="724"/>
      <c r="Y175" s="724"/>
      <c r="Z175" s="724"/>
      <c r="AA175" s="754"/>
      <c r="AB175" s="754"/>
      <c r="AC175" s="754"/>
      <c r="AD175" s="754"/>
      <c r="AE175" s="754"/>
      <c r="AF175" s="754"/>
      <c r="AG175" s="754"/>
      <c r="AH175" s="754"/>
      <c r="AI175" s="754"/>
      <c r="AJ175" s="754"/>
      <c r="AK175" s="754"/>
      <c r="AL175" s="754"/>
      <c r="AM175" s="754"/>
      <c r="AN175" s="754"/>
      <c r="AO175" s="754"/>
      <c r="AP175" s="754"/>
      <c r="AQ175" s="754"/>
      <c r="AR175" s="754"/>
      <c r="AS175" s="754"/>
      <c r="AT175" s="754"/>
      <c r="AU175" s="754"/>
      <c r="AV175" s="616"/>
      <c r="AW175" s="616"/>
      <c r="AX175" s="616"/>
      <c r="AY175" s="616"/>
      <c r="AZ175" s="616"/>
    </row>
    <row r="176" spans="2:54" x14ac:dyDescent="0.25">
      <c r="B176" s="1084"/>
      <c r="C176" s="628"/>
      <c r="D176" s="632"/>
      <c r="E176" s="638"/>
      <c r="F176" s="628"/>
      <c r="G176" s="633"/>
      <c r="H176" s="641"/>
      <c r="I176" s="746"/>
      <c r="J176" s="741"/>
      <c r="K176" s="745"/>
      <c r="L176" s="743"/>
      <c r="M176" s="640"/>
      <c r="N176" s="742"/>
      <c r="O176" s="742"/>
      <c r="P176" s="743"/>
      <c r="Q176" s="640"/>
      <c r="R176" s="741"/>
      <c r="S176" s="636"/>
      <c r="T176" s="743"/>
      <c r="U176" s="724"/>
      <c r="Y176" s="724"/>
      <c r="Z176" s="724"/>
      <c r="AA176" s="754"/>
      <c r="AB176" s="754"/>
      <c r="AC176" s="754"/>
      <c r="AD176" s="754"/>
      <c r="AE176" s="754"/>
      <c r="AF176" s="754"/>
      <c r="AG176" s="754"/>
      <c r="AH176" s="754"/>
      <c r="AI176" s="754"/>
      <c r="AJ176" s="754"/>
      <c r="AK176" s="754"/>
      <c r="AL176" s="754"/>
      <c r="AM176" s="754"/>
      <c r="AN176" s="754"/>
      <c r="AO176" s="754"/>
      <c r="AP176" s="754"/>
      <c r="AQ176" s="754"/>
      <c r="AR176" s="754"/>
      <c r="AS176" s="754"/>
      <c r="AT176" s="754"/>
      <c r="AU176" s="754"/>
      <c r="AV176" s="616"/>
      <c r="AW176" s="616"/>
      <c r="AX176" s="616"/>
      <c r="AY176" s="616"/>
      <c r="AZ176" s="616"/>
    </row>
    <row r="177" spans="2:52" x14ac:dyDescent="0.25">
      <c r="B177" s="637"/>
      <c r="C177" s="628"/>
      <c r="D177" s="632"/>
      <c r="E177" s="638"/>
      <c r="F177" s="628"/>
      <c r="G177" s="633"/>
      <c r="H177" s="641"/>
      <c r="I177" s="746"/>
      <c r="J177" s="741"/>
      <c r="K177" s="745"/>
      <c r="L177" s="743"/>
      <c r="M177" s="640"/>
      <c r="N177" s="742"/>
      <c r="O177" s="742"/>
      <c r="P177" s="743"/>
      <c r="Q177" s="640"/>
      <c r="R177" s="741"/>
      <c r="S177" s="636"/>
      <c r="T177" s="743"/>
      <c r="U177" s="724"/>
      <c r="Y177" s="724"/>
      <c r="Z177" s="724"/>
      <c r="AA177" s="754"/>
      <c r="AB177" s="754"/>
      <c r="AC177" s="754"/>
      <c r="AD177" s="754"/>
      <c r="AE177" s="754"/>
      <c r="AF177" s="754"/>
      <c r="AG177" s="754"/>
      <c r="AH177" s="754"/>
      <c r="AI177" s="754"/>
      <c r="AJ177" s="754"/>
      <c r="AK177" s="754"/>
      <c r="AL177" s="754"/>
      <c r="AM177" s="754"/>
      <c r="AN177" s="754"/>
      <c r="AO177" s="754"/>
      <c r="AP177" s="754"/>
      <c r="AQ177" s="754"/>
      <c r="AR177" s="754"/>
      <c r="AS177" s="754"/>
      <c r="AT177" s="754"/>
      <c r="AU177" s="754"/>
      <c r="AV177" s="616"/>
      <c r="AW177" s="616"/>
      <c r="AX177" s="616"/>
      <c r="AY177" s="616"/>
      <c r="AZ177" s="616"/>
    </row>
    <row r="178" spans="2:52" x14ac:dyDescent="0.25">
      <c r="B178" s="637"/>
      <c r="C178" s="628"/>
      <c r="D178" s="632"/>
      <c r="E178" s="638"/>
      <c r="F178" s="628"/>
      <c r="G178" s="633"/>
      <c r="H178" s="641"/>
      <c r="I178" s="746"/>
      <c r="J178" s="741"/>
      <c r="K178" s="745"/>
      <c r="L178" s="743"/>
      <c r="M178" s="640"/>
      <c r="N178" s="742"/>
      <c r="O178" s="742"/>
      <c r="P178" s="743"/>
      <c r="Q178" s="640"/>
      <c r="R178" s="741"/>
      <c r="S178" s="636"/>
      <c r="T178" s="743"/>
      <c r="U178" s="724"/>
      <c r="Y178" s="724"/>
      <c r="Z178" s="724"/>
      <c r="AA178" s="754"/>
      <c r="AB178" s="754"/>
      <c r="AC178" s="754"/>
      <c r="AD178" s="754"/>
      <c r="AE178" s="754"/>
      <c r="AF178" s="754"/>
      <c r="AG178" s="754"/>
      <c r="AH178" s="754"/>
      <c r="AI178" s="754"/>
      <c r="AJ178" s="754"/>
      <c r="AK178" s="754"/>
      <c r="AL178" s="754"/>
      <c r="AM178" s="754"/>
      <c r="AN178" s="754"/>
      <c r="AO178" s="754"/>
      <c r="AP178" s="754"/>
      <c r="AQ178" s="754"/>
      <c r="AR178" s="754"/>
      <c r="AS178" s="754"/>
      <c r="AT178" s="754"/>
      <c r="AU178" s="754"/>
      <c r="AV178" s="616"/>
      <c r="AW178" s="616"/>
      <c r="AX178" s="616"/>
      <c r="AY178" s="616"/>
      <c r="AZ178" s="616"/>
    </row>
    <row r="179" spans="2:52" x14ac:dyDescent="0.25">
      <c r="B179" s="637"/>
      <c r="C179" s="628"/>
      <c r="D179" s="746"/>
      <c r="E179" s="640"/>
      <c r="F179" s="745"/>
      <c r="G179" s="640"/>
      <c r="H179" s="639"/>
      <c r="I179" s="746"/>
      <c r="J179" s="741"/>
      <c r="K179" s="745"/>
      <c r="L179" s="743"/>
      <c r="M179" s="640"/>
      <c r="N179" s="742"/>
      <c r="O179" s="742"/>
      <c r="P179" s="743"/>
      <c r="Q179" s="640"/>
      <c r="R179" s="741"/>
      <c r="S179" s="636"/>
      <c r="T179" s="743"/>
      <c r="U179" s="724"/>
      <c r="Y179" s="724"/>
      <c r="Z179" s="724"/>
      <c r="AA179" s="754"/>
      <c r="AB179" s="754"/>
      <c r="AC179" s="754"/>
      <c r="AD179" s="754"/>
      <c r="AE179" s="754"/>
      <c r="AF179" s="754"/>
      <c r="AG179" s="754"/>
      <c r="AH179" s="754"/>
      <c r="AI179" s="754"/>
      <c r="AJ179" s="754"/>
      <c r="AK179" s="754"/>
      <c r="AL179" s="754"/>
      <c r="AM179" s="754"/>
      <c r="AN179" s="754"/>
      <c r="AO179" s="754"/>
      <c r="AP179" s="754"/>
      <c r="AQ179" s="754"/>
      <c r="AR179" s="754"/>
      <c r="AS179" s="754"/>
      <c r="AT179" s="754"/>
      <c r="AU179" s="754"/>
      <c r="AV179" s="616"/>
      <c r="AW179" s="616"/>
      <c r="AX179" s="616"/>
      <c r="AY179" s="616"/>
      <c r="AZ179" s="616"/>
    </row>
    <row r="180" spans="2:52" x14ac:dyDescent="0.25">
      <c r="B180" s="637"/>
      <c r="C180" s="628"/>
      <c r="D180" s="746"/>
      <c r="E180" s="640"/>
      <c r="F180" s="745"/>
      <c r="G180" s="640"/>
      <c r="H180" s="641"/>
      <c r="I180" s="823"/>
      <c r="J180" s="745"/>
      <c r="K180" s="745"/>
      <c r="L180" s="743"/>
      <c r="M180" s="640"/>
      <c r="N180" s="742"/>
      <c r="O180" s="742"/>
      <c r="P180" s="743"/>
      <c r="Q180" s="640"/>
      <c r="R180" s="741"/>
      <c r="S180" s="636"/>
      <c r="T180" s="743"/>
      <c r="U180" s="724"/>
      <c r="Y180" s="724"/>
      <c r="Z180" s="724"/>
      <c r="AA180" s="754"/>
      <c r="AB180" s="754"/>
      <c r="AC180" s="754"/>
      <c r="AD180" s="754"/>
      <c r="AE180" s="754"/>
      <c r="AF180" s="754"/>
      <c r="AG180" s="754"/>
      <c r="AH180" s="754"/>
      <c r="AI180" s="754"/>
      <c r="AJ180" s="754"/>
      <c r="AK180" s="754"/>
      <c r="AL180" s="754"/>
      <c r="AM180" s="754"/>
      <c r="AN180" s="754"/>
      <c r="AO180" s="754"/>
      <c r="AP180" s="754"/>
      <c r="AQ180" s="754"/>
      <c r="AR180" s="754"/>
      <c r="AS180" s="754"/>
      <c r="AT180" s="754"/>
      <c r="AU180" s="754"/>
      <c r="AV180" s="616"/>
      <c r="AW180" s="616"/>
      <c r="AX180" s="616"/>
      <c r="AY180" s="616"/>
      <c r="AZ180" s="616"/>
    </row>
    <row r="181" spans="2:52" x14ac:dyDescent="0.25">
      <c r="B181" s="637"/>
      <c r="C181" s="628"/>
      <c r="D181" s="632"/>
      <c r="E181" s="638"/>
      <c r="F181" s="628"/>
      <c r="G181" s="633"/>
      <c r="H181" s="641"/>
      <c r="I181" s="823"/>
      <c r="J181" s="745"/>
      <c r="K181" s="745"/>
      <c r="L181" s="743"/>
      <c r="M181" s="640"/>
      <c r="N181" s="742"/>
      <c r="O181" s="742"/>
      <c r="P181" s="743"/>
      <c r="Q181" s="640"/>
      <c r="R181" s="741"/>
      <c r="S181" s="636"/>
      <c r="T181" s="743"/>
      <c r="U181" s="724"/>
      <c r="Y181" s="724"/>
      <c r="Z181" s="724"/>
      <c r="AA181" s="754"/>
      <c r="AB181" s="754"/>
      <c r="AC181" s="754"/>
      <c r="AD181" s="754"/>
      <c r="AE181" s="754"/>
      <c r="AF181" s="754"/>
      <c r="AG181" s="754"/>
      <c r="AH181" s="754"/>
      <c r="AI181" s="754"/>
      <c r="AJ181" s="754"/>
      <c r="AK181" s="754"/>
      <c r="AL181" s="754"/>
      <c r="AM181" s="754"/>
      <c r="AN181" s="754"/>
      <c r="AO181" s="754"/>
      <c r="AP181" s="754"/>
      <c r="AQ181" s="754"/>
      <c r="AR181" s="754"/>
      <c r="AS181" s="754"/>
      <c r="AT181" s="754"/>
      <c r="AU181" s="754"/>
      <c r="AV181" s="616"/>
      <c r="AW181" s="616"/>
      <c r="AX181" s="616"/>
      <c r="AY181" s="616"/>
      <c r="AZ181" s="616"/>
    </row>
    <row r="182" spans="2:52" x14ac:dyDescent="0.25">
      <c r="B182" s="637"/>
      <c r="C182" s="628"/>
      <c r="D182" s="632"/>
      <c r="E182" s="638"/>
      <c r="F182" s="628"/>
      <c r="G182" s="633"/>
      <c r="H182" s="641"/>
      <c r="I182" s="823"/>
      <c r="J182" s="745"/>
      <c r="K182" s="745"/>
      <c r="L182" s="743"/>
      <c r="M182" s="640"/>
      <c r="N182" s="742"/>
      <c r="O182" s="742"/>
      <c r="P182" s="743"/>
      <c r="Q182" s="640"/>
      <c r="R182" s="741"/>
      <c r="S182" s="636"/>
      <c r="T182" s="743"/>
      <c r="U182" s="724"/>
      <c r="Y182" s="724"/>
      <c r="Z182" s="724"/>
      <c r="AA182" s="754"/>
      <c r="AB182" s="754"/>
      <c r="AC182" s="754"/>
      <c r="AD182" s="754"/>
      <c r="AE182" s="754"/>
      <c r="AF182" s="754"/>
      <c r="AG182" s="754"/>
      <c r="AH182" s="754"/>
      <c r="AI182" s="754"/>
      <c r="AJ182" s="754"/>
      <c r="AK182" s="754"/>
      <c r="AL182" s="754"/>
      <c r="AM182" s="754"/>
      <c r="AN182" s="754"/>
      <c r="AO182" s="754"/>
      <c r="AP182" s="754"/>
      <c r="AQ182" s="754"/>
      <c r="AR182" s="754"/>
      <c r="AS182" s="754"/>
      <c r="AT182" s="754"/>
      <c r="AU182" s="754"/>
      <c r="AV182" s="616"/>
      <c r="AW182" s="616"/>
      <c r="AX182" s="616"/>
      <c r="AY182" s="616"/>
      <c r="AZ182" s="616"/>
    </row>
    <row r="183" spans="2:52" x14ac:dyDescent="0.25">
      <c r="B183" s="637"/>
      <c r="C183" s="628"/>
      <c r="D183" s="632"/>
      <c r="E183" s="638"/>
      <c r="F183" s="628"/>
      <c r="G183" s="633"/>
      <c r="H183" s="641"/>
      <c r="I183" s="823"/>
      <c r="J183" s="745"/>
      <c r="K183" s="745"/>
      <c r="L183" s="743"/>
      <c r="M183" s="640"/>
      <c r="N183" s="742"/>
      <c r="O183" s="742"/>
      <c r="P183" s="743"/>
      <c r="Q183" s="640"/>
      <c r="R183" s="741"/>
      <c r="S183" s="636"/>
      <c r="T183" s="743"/>
      <c r="U183" s="724"/>
      <c r="Y183" s="724"/>
      <c r="Z183" s="724"/>
      <c r="AA183" s="754"/>
      <c r="AB183" s="754"/>
      <c r="AC183" s="754"/>
      <c r="AD183" s="754"/>
      <c r="AE183" s="754"/>
      <c r="AF183" s="754"/>
      <c r="AG183" s="754"/>
      <c r="AH183" s="754"/>
      <c r="AI183" s="754"/>
      <c r="AJ183" s="754"/>
      <c r="AK183" s="754"/>
      <c r="AL183" s="754"/>
      <c r="AM183" s="754"/>
      <c r="AN183" s="754"/>
      <c r="AO183" s="754"/>
      <c r="AP183" s="754"/>
      <c r="AQ183" s="754"/>
      <c r="AR183" s="754"/>
      <c r="AS183" s="754"/>
      <c r="AT183" s="754"/>
      <c r="AU183" s="754"/>
      <c r="AV183" s="616"/>
      <c r="AW183" s="616"/>
      <c r="AX183" s="616"/>
      <c r="AY183" s="616"/>
      <c r="AZ183" s="616"/>
    </row>
    <row r="184" spans="2:52" x14ac:dyDescent="0.25">
      <c r="B184" s="637"/>
      <c r="C184" s="628"/>
      <c r="D184" s="632"/>
      <c r="E184" s="638"/>
      <c r="F184" s="628"/>
      <c r="G184" s="633"/>
      <c r="H184" s="641"/>
      <c r="I184" s="823"/>
      <c r="J184" s="745"/>
      <c r="K184" s="745"/>
      <c r="L184" s="743"/>
      <c r="M184" s="640"/>
      <c r="N184" s="742"/>
      <c r="O184" s="742"/>
      <c r="P184" s="743"/>
      <c r="Q184" s="640"/>
      <c r="R184" s="741"/>
      <c r="S184" s="636"/>
      <c r="T184" s="743"/>
      <c r="U184" s="724"/>
      <c r="Y184" s="724"/>
      <c r="Z184" s="724"/>
      <c r="AA184" s="754"/>
      <c r="AB184" s="754"/>
      <c r="AC184" s="754"/>
      <c r="AD184" s="754"/>
      <c r="AE184" s="754"/>
      <c r="AF184" s="754"/>
      <c r="AG184" s="754"/>
      <c r="AH184" s="754"/>
      <c r="AI184" s="754"/>
      <c r="AJ184" s="754"/>
      <c r="AK184" s="754"/>
      <c r="AL184" s="754"/>
      <c r="AM184" s="754"/>
      <c r="AN184" s="754"/>
      <c r="AO184" s="754"/>
      <c r="AP184" s="754"/>
      <c r="AQ184" s="754"/>
      <c r="AR184" s="754"/>
      <c r="AS184" s="754"/>
      <c r="AT184" s="754"/>
      <c r="AU184" s="754"/>
      <c r="AV184" s="616"/>
      <c r="AW184" s="616"/>
      <c r="AX184" s="616"/>
      <c r="AY184" s="616"/>
      <c r="AZ184" s="616"/>
    </row>
    <row r="185" spans="2:52" x14ac:dyDescent="0.25">
      <c r="B185" s="637"/>
      <c r="C185" s="628"/>
      <c r="D185" s="632"/>
      <c r="E185" s="638"/>
      <c r="F185" s="628"/>
      <c r="G185" s="633"/>
      <c r="H185" s="641"/>
      <c r="I185" s="823"/>
      <c r="J185" s="745"/>
      <c r="K185" s="745"/>
      <c r="L185" s="743"/>
      <c r="M185" s="640"/>
      <c r="N185" s="742"/>
      <c r="O185" s="742"/>
      <c r="P185" s="743"/>
      <c r="Q185" s="640"/>
      <c r="R185" s="741"/>
      <c r="S185" s="636"/>
      <c r="T185" s="743"/>
      <c r="U185" s="724"/>
      <c r="Y185" s="724"/>
      <c r="Z185" s="724"/>
      <c r="AA185" s="754"/>
      <c r="AB185" s="754"/>
      <c r="AC185" s="754"/>
      <c r="AD185" s="754"/>
      <c r="AE185" s="754"/>
      <c r="AF185" s="754"/>
      <c r="AG185" s="754"/>
      <c r="AH185" s="754"/>
      <c r="AI185" s="754"/>
      <c r="AJ185" s="754"/>
      <c r="AK185" s="754"/>
      <c r="AL185" s="754"/>
      <c r="AM185" s="754"/>
      <c r="AN185" s="754"/>
      <c r="AO185" s="754"/>
      <c r="AP185" s="754"/>
      <c r="AQ185" s="754"/>
      <c r="AR185" s="754"/>
      <c r="AS185" s="754"/>
      <c r="AT185" s="754"/>
      <c r="AU185" s="754"/>
      <c r="AV185" s="616"/>
      <c r="AW185" s="616"/>
      <c r="AX185" s="616"/>
      <c r="AY185" s="616"/>
      <c r="AZ185" s="616"/>
    </row>
    <row r="186" spans="2:52" x14ac:dyDescent="0.25">
      <c r="B186" s="637"/>
      <c r="C186" s="628"/>
      <c r="D186" s="632"/>
      <c r="E186" s="638"/>
      <c r="F186" s="628"/>
      <c r="G186" s="633"/>
      <c r="H186" s="641"/>
      <c r="I186" s="823"/>
      <c r="J186" s="745"/>
      <c r="K186" s="745"/>
      <c r="L186" s="743"/>
      <c r="M186" s="640"/>
      <c r="N186" s="742"/>
      <c r="O186" s="742"/>
      <c r="P186" s="743"/>
      <c r="Q186" s="640"/>
      <c r="R186" s="741"/>
      <c r="S186" s="636"/>
      <c r="T186" s="743"/>
      <c r="U186" s="724"/>
      <c r="Y186" s="724"/>
      <c r="Z186" s="724"/>
      <c r="AA186" s="754"/>
      <c r="AB186" s="754"/>
      <c r="AC186" s="754"/>
      <c r="AD186" s="754"/>
      <c r="AE186" s="754"/>
      <c r="AF186" s="754"/>
      <c r="AG186" s="754"/>
      <c r="AH186" s="754"/>
      <c r="AI186" s="754"/>
      <c r="AJ186" s="754"/>
      <c r="AK186" s="754"/>
      <c r="AL186" s="754"/>
      <c r="AM186" s="754"/>
      <c r="AN186" s="754"/>
      <c r="AO186" s="754"/>
      <c r="AP186" s="754"/>
      <c r="AQ186" s="754"/>
      <c r="AR186" s="754"/>
      <c r="AS186" s="754"/>
      <c r="AT186" s="754"/>
      <c r="AU186" s="754"/>
      <c r="AV186" s="616"/>
      <c r="AW186" s="616"/>
      <c r="AX186" s="616"/>
      <c r="AY186" s="616"/>
      <c r="AZ186" s="616"/>
    </row>
    <row r="187" spans="2:52" x14ac:dyDescent="0.25">
      <c r="B187" s="637"/>
      <c r="C187" s="628"/>
      <c r="D187" s="632"/>
      <c r="E187" s="638"/>
      <c r="F187" s="628"/>
      <c r="G187" s="633"/>
      <c r="H187" s="641"/>
      <c r="I187" s="746"/>
      <c r="J187" s="741"/>
      <c r="K187" s="745"/>
      <c r="L187" s="743"/>
      <c r="M187" s="640"/>
      <c r="N187" s="742"/>
      <c r="O187" s="742"/>
      <c r="P187" s="743"/>
      <c r="Q187" s="640"/>
      <c r="R187" s="741"/>
      <c r="S187" s="636"/>
      <c r="T187" s="743"/>
      <c r="U187" s="724"/>
      <c r="Y187" s="724"/>
      <c r="Z187" s="724"/>
      <c r="AA187" s="754"/>
      <c r="AB187" s="754"/>
      <c r="AC187" s="754"/>
      <c r="AD187" s="754"/>
      <c r="AE187" s="754"/>
      <c r="AF187" s="754"/>
      <c r="AG187" s="754"/>
      <c r="AH187" s="754"/>
      <c r="AI187" s="754"/>
      <c r="AJ187" s="754"/>
      <c r="AK187" s="754"/>
      <c r="AL187" s="754"/>
      <c r="AM187" s="754"/>
      <c r="AN187" s="754"/>
      <c r="AO187" s="754"/>
      <c r="AP187" s="754"/>
      <c r="AQ187" s="754"/>
      <c r="AR187" s="754"/>
      <c r="AS187" s="754"/>
      <c r="AT187" s="754"/>
      <c r="AU187" s="754"/>
      <c r="AV187" s="616"/>
      <c r="AW187" s="616"/>
      <c r="AX187" s="616"/>
      <c r="AY187" s="616"/>
      <c r="AZ187" s="616"/>
    </row>
    <row r="188" spans="2:52" x14ac:dyDescent="0.25">
      <c r="B188" s="637"/>
      <c r="C188" s="628"/>
      <c r="D188" s="632"/>
      <c r="E188" s="638"/>
      <c r="F188" s="628"/>
      <c r="G188" s="633"/>
      <c r="H188" s="641"/>
      <c r="I188" s="746"/>
      <c r="J188" s="741"/>
      <c r="K188" s="745"/>
      <c r="L188" s="743"/>
      <c r="M188" s="640"/>
      <c r="N188" s="742"/>
      <c r="O188" s="742"/>
      <c r="P188" s="743"/>
      <c r="Q188" s="640"/>
      <c r="R188" s="741"/>
      <c r="S188" s="636"/>
      <c r="T188" s="743"/>
      <c r="U188" s="724"/>
      <c r="Y188" s="724"/>
      <c r="Z188" s="724"/>
      <c r="AA188" s="754"/>
      <c r="AB188" s="754"/>
      <c r="AC188" s="754"/>
      <c r="AD188" s="754"/>
      <c r="AE188" s="754"/>
      <c r="AF188" s="754"/>
      <c r="AG188" s="754"/>
      <c r="AH188" s="754"/>
      <c r="AI188" s="754"/>
      <c r="AJ188" s="754"/>
      <c r="AK188" s="754"/>
      <c r="AL188" s="754"/>
      <c r="AM188" s="754"/>
      <c r="AN188" s="754"/>
      <c r="AO188" s="754"/>
      <c r="AP188" s="754"/>
      <c r="AQ188" s="754"/>
      <c r="AR188" s="754"/>
      <c r="AS188" s="754"/>
      <c r="AT188" s="754"/>
      <c r="AU188" s="754"/>
      <c r="AV188" s="616"/>
      <c r="AW188" s="616"/>
      <c r="AX188" s="616"/>
      <c r="AY188" s="616"/>
      <c r="AZ188" s="616"/>
    </row>
    <row r="189" spans="2:52" x14ac:dyDescent="0.25">
      <c r="B189" s="606"/>
      <c r="C189" s="607"/>
      <c r="D189" s="608"/>
      <c r="E189" s="698"/>
      <c r="F189" s="698"/>
      <c r="G189" s="609"/>
      <c r="H189" s="610"/>
      <c r="I189" s="611"/>
      <c r="J189" s="698"/>
      <c r="K189" s="698"/>
      <c r="L189" s="606"/>
      <c r="M189" s="607"/>
      <c r="N189" s="611"/>
      <c r="O189" s="612"/>
      <c r="P189" s="613"/>
      <c r="Q189" s="614"/>
      <c r="R189" s="741"/>
      <c r="S189" s="636"/>
      <c r="T189" s="743"/>
      <c r="U189" s="724"/>
      <c r="Y189" s="724"/>
      <c r="Z189" s="724"/>
      <c r="AA189" s="754"/>
      <c r="AB189" s="754"/>
      <c r="AC189" s="754"/>
      <c r="AD189" s="754"/>
      <c r="AE189" s="754"/>
      <c r="AF189" s="754"/>
      <c r="AG189" s="754"/>
      <c r="AH189" s="754"/>
      <c r="AI189" s="754"/>
      <c r="AJ189" s="754"/>
      <c r="AK189" s="754"/>
      <c r="AL189" s="754"/>
      <c r="AM189" s="754"/>
      <c r="AN189" s="754"/>
      <c r="AO189" s="754"/>
      <c r="AP189" s="754"/>
      <c r="AQ189" s="754"/>
      <c r="AR189" s="754"/>
      <c r="AS189" s="754"/>
      <c r="AT189" s="754"/>
      <c r="AU189" s="754"/>
      <c r="AV189" s="616"/>
      <c r="AW189" s="616"/>
      <c r="AX189" s="616"/>
      <c r="AY189" s="616"/>
      <c r="AZ189" s="616"/>
    </row>
    <row r="190" spans="2:52" x14ac:dyDescent="0.25">
      <c r="B190" s="606"/>
      <c r="C190" s="607"/>
      <c r="D190" s="608"/>
      <c r="E190" s="698"/>
      <c r="F190" s="698"/>
      <c r="G190" s="609"/>
      <c r="H190" s="610"/>
      <c r="I190" s="612"/>
      <c r="J190" s="698"/>
      <c r="K190" s="698"/>
      <c r="L190" s="606"/>
      <c r="M190" s="607"/>
      <c r="N190" s="611"/>
      <c r="O190" s="612"/>
      <c r="P190" s="613"/>
      <c r="Q190" s="614"/>
      <c r="R190" s="741"/>
      <c r="S190" s="636"/>
      <c r="T190" s="743"/>
      <c r="U190" s="724"/>
      <c r="Y190" s="724"/>
      <c r="Z190" s="724"/>
      <c r="AA190" s="754"/>
      <c r="AB190" s="754"/>
      <c r="AC190" s="754"/>
      <c r="AD190" s="754"/>
      <c r="AE190" s="754"/>
      <c r="AF190" s="754"/>
      <c r="AG190" s="754"/>
      <c r="AH190" s="754"/>
      <c r="AI190" s="754"/>
      <c r="AJ190" s="754"/>
      <c r="AK190" s="754"/>
      <c r="AL190" s="754"/>
      <c r="AM190" s="754"/>
      <c r="AN190" s="754"/>
      <c r="AO190" s="754"/>
      <c r="AP190" s="754"/>
      <c r="AQ190" s="754"/>
      <c r="AR190" s="754"/>
      <c r="AS190" s="754"/>
      <c r="AT190" s="754"/>
      <c r="AU190" s="754"/>
      <c r="AV190" s="616"/>
      <c r="AW190" s="616"/>
      <c r="AX190" s="616"/>
      <c r="AY190" s="616"/>
      <c r="AZ190" s="616"/>
    </row>
    <row r="191" spans="2:52" x14ac:dyDescent="0.25">
      <c r="B191" s="606"/>
      <c r="C191" s="607"/>
      <c r="D191" s="608"/>
      <c r="E191" s="698"/>
      <c r="F191" s="698"/>
      <c r="G191" s="609"/>
      <c r="H191" s="610"/>
      <c r="I191" s="612"/>
      <c r="J191" s="698"/>
      <c r="K191" s="698"/>
      <c r="L191" s="606"/>
      <c r="M191" s="607"/>
      <c r="N191" s="611"/>
      <c r="O191" s="612"/>
      <c r="P191" s="613"/>
      <c r="Q191" s="614"/>
      <c r="R191" s="741"/>
      <c r="S191" s="636"/>
      <c r="T191" s="743"/>
      <c r="U191" s="724"/>
      <c r="Y191" s="724"/>
      <c r="Z191" s="724"/>
      <c r="AA191" s="754"/>
      <c r="AB191" s="754"/>
      <c r="AC191" s="754"/>
      <c r="AD191" s="754"/>
      <c r="AE191" s="754"/>
      <c r="AF191" s="754"/>
      <c r="AG191" s="754"/>
      <c r="AH191" s="754"/>
      <c r="AI191" s="754"/>
      <c r="AJ191" s="754"/>
      <c r="AK191" s="754"/>
      <c r="AL191" s="754"/>
      <c r="AM191" s="754"/>
      <c r="AN191" s="754"/>
      <c r="AO191" s="754"/>
      <c r="AP191" s="754"/>
      <c r="AQ191" s="754"/>
      <c r="AR191" s="754"/>
      <c r="AS191" s="754"/>
      <c r="AT191" s="754"/>
      <c r="AU191" s="754"/>
      <c r="AV191" s="616"/>
      <c r="AW191" s="616"/>
      <c r="AX191" s="616"/>
      <c r="AY191" s="616"/>
      <c r="AZ191" s="616"/>
    </row>
    <row r="192" spans="2:52" x14ac:dyDescent="0.25">
      <c r="B192" s="606"/>
      <c r="C192" s="607"/>
      <c r="D192" s="608"/>
      <c r="E192" s="698"/>
      <c r="F192" s="698"/>
      <c r="G192" s="609"/>
      <c r="H192" s="610"/>
      <c r="I192" s="612"/>
      <c r="J192" s="698"/>
      <c r="K192" s="698"/>
      <c r="L192" s="606"/>
      <c r="M192" s="607"/>
      <c r="N192" s="611"/>
      <c r="O192" s="612"/>
      <c r="P192" s="613"/>
      <c r="Q192" s="614"/>
      <c r="R192" s="741"/>
      <c r="S192" s="636"/>
      <c r="T192" s="743"/>
      <c r="U192" s="724"/>
      <c r="Y192" s="724"/>
      <c r="Z192" s="724"/>
      <c r="AA192" s="754"/>
      <c r="AB192" s="754"/>
      <c r="AC192" s="754"/>
      <c r="AD192" s="754"/>
      <c r="AE192" s="754"/>
      <c r="AF192" s="754"/>
      <c r="AG192" s="754"/>
      <c r="AH192" s="754"/>
      <c r="AI192" s="754"/>
      <c r="AJ192" s="754"/>
      <c r="AK192" s="754"/>
      <c r="AL192" s="754"/>
      <c r="AM192" s="754"/>
      <c r="AN192" s="754"/>
      <c r="AO192" s="754"/>
      <c r="AP192" s="754"/>
      <c r="AQ192" s="754"/>
      <c r="AR192" s="754"/>
      <c r="AS192" s="754"/>
      <c r="AT192" s="754"/>
      <c r="AU192" s="754"/>
      <c r="AV192" s="616"/>
      <c r="AW192" s="616"/>
      <c r="AX192" s="616"/>
      <c r="AY192" s="616"/>
      <c r="AZ192" s="616"/>
    </row>
    <row r="193" spans="2:52" x14ac:dyDescent="0.25">
      <c r="B193" s="606"/>
      <c r="C193" s="607"/>
      <c r="D193" s="608"/>
      <c r="E193" s="698"/>
      <c r="F193" s="698"/>
      <c r="G193" s="609"/>
      <c r="H193" s="610"/>
      <c r="I193" s="612"/>
      <c r="J193" s="698"/>
      <c r="K193" s="698"/>
      <c r="L193" s="606"/>
      <c r="M193" s="607"/>
      <c r="N193" s="611"/>
      <c r="O193" s="612"/>
      <c r="P193" s="613"/>
      <c r="Q193" s="614"/>
      <c r="R193" s="741"/>
      <c r="S193" s="636"/>
      <c r="T193" s="743"/>
      <c r="U193" s="724"/>
      <c r="Y193" s="724"/>
      <c r="Z193" s="724"/>
      <c r="AA193" s="754"/>
      <c r="AB193" s="754"/>
      <c r="AC193" s="754"/>
      <c r="AD193" s="754"/>
      <c r="AE193" s="754"/>
      <c r="AF193" s="754"/>
      <c r="AG193" s="754"/>
      <c r="AH193" s="754"/>
      <c r="AI193" s="754"/>
      <c r="AJ193" s="754"/>
      <c r="AK193" s="754"/>
      <c r="AL193" s="754"/>
      <c r="AM193" s="754"/>
      <c r="AN193" s="754"/>
      <c r="AO193" s="754"/>
      <c r="AP193" s="754"/>
      <c r="AQ193" s="754"/>
      <c r="AR193" s="754"/>
      <c r="AS193" s="754"/>
      <c r="AT193" s="754"/>
      <c r="AU193" s="754"/>
      <c r="AV193" s="616"/>
      <c r="AW193" s="616"/>
      <c r="AX193" s="616"/>
      <c r="AY193" s="616"/>
      <c r="AZ193" s="616"/>
    </row>
    <row r="194" spans="2:52" x14ac:dyDescent="0.25">
      <c r="B194" s="606"/>
      <c r="C194" s="607"/>
      <c r="D194" s="608"/>
      <c r="E194" s="698"/>
      <c r="F194" s="698"/>
      <c r="G194" s="609"/>
      <c r="H194" s="610"/>
      <c r="I194" s="612"/>
      <c r="J194" s="698"/>
      <c r="K194" s="698"/>
      <c r="L194" s="606"/>
      <c r="M194" s="607"/>
      <c r="N194" s="611"/>
      <c r="O194" s="612"/>
      <c r="P194" s="613"/>
      <c r="Q194" s="614"/>
      <c r="R194" s="741"/>
      <c r="S194" s="636"/>
      <c r="T194" s="743"/>
      <c r="U194" s="724"/>
      <c r="Y194" s="724"/>
      <c r="Z194" s="724"/>
      <c r="AA194" s="754"/>
      <c r="AB194" s="754"/>
      <c r="AC194" s="754"/>
      <c r="AD194" s="754"/>
      <c r="AE194" s="754"/>
      <c r="AF194" s="754"/>
      <c r="AG194" s="754"/>
      <c r="AH194" s="754"/>
      <c r="AI194" s="754"/>
      <c r="AJ194" s="754"/>
      <c r="AK194" s="754"/>
      <c r="AL194" s="754"/>
      <c r="AM194" s="754"/>
      <c r="AN194" s="754"/>
      <c r="AO194" s="754"/>
      <c r="AP194" s="754"/>
      <c r="AQ194" s="754"/>
      <c r="AR194" s="754"/>
      <c r="AS194" s="754"/>
      <c r="AT194" s="754"/>
      <c r="AU194" s="754"/>
      <c r="AV194" s="616"/>
      <c r="AW194" s="616"/>
      <c r="AX194" s="616"/>
      <c r="AY194" s="616"/>
      <c r="AZ194" s="616"/>
    </row>
    <row r="195" spans="2:52" x14ac:dyDescent="0.25">
      <c r="B195" s="606"/>
      <c r="C195" s="607"/>
      <c r="D195" s="608"/>
      <c r="E195" s="698"/>
      <c r="F195" s="698"/>
      <c r="G195" s="609"/>
      <c r="H195" s="610"/>
      <c r="I195" s="612"/>
      <c r="J195" s="698"/>
      <c r="K195" s="698"/>
      <c r="L195" s="606"/>
      <c r="M195" s="607"/>
      <c r="N195" s="611"/>
      <c r="O195" s="612"/>
      <c r="P195" s="613"/>
      <c r="Q195" s="614"/>
      <c r="R195" s="741"/>
      <c r="S195" s="636"/>
      <c r="T195" s="743"/>
      <c r="U195" s="724"/>
      <c r="Y195" s="724"/>
      <c r="Z195" s="724"/>
      <c r="AA195" s="754"/>
      <c r="AB195" s="754"/>
      <c r="AC195" s="754"/>
      <c r="AD195" s="754"/>
      <c r="AE195" s="754"/>
      <c r="AF195" s="754"/>
      <c r="AG195" s="754"/>
      <c r="AH195" s="754"/>
      <c r="AI195" s="754"/>
      <c r="AJ195" s="754"/>
      <c r="AK195" s="754"/>
      <c r="AL195" s="754"/>
      <c r="AM195" s="754"/>
      <c r="AN195" s="754"/>
      <c r="AO195" s="754"/>
      <c r="AP195" s="754"/>
      <c r="AQ195" s="754"/>
      <c r="AR195" s="754"/>
      <c r="AS195" s="754"/>
      <c r="AT195" s="754"/>
      <c r="AU195" s="754"/>
      <c r="AV195" s="616"/>
      <c r="AW195" s="616"/>
      <c r="AX195" s="616"/>
      <c r="AY195" s="616"/>
      <c r="AZ195" s="616"/>
    </row>
    <row r="196" spans="2:52" x14ac:dyDescent="0.25">
      <c r="B196" s="606"/>
      <c r="C196" s="607"/>
      <c r="D196" s="608"/>
      <c r="E196" s="698"/>
      <c r="F196" s="698"/>
      <c r="G196" s="609"/>
      <c r="H196" s="610"/>
      <c r="I196" s="612"/>
      <c r="J196" s="698"/>
      <c r="K196" s="698"/>
      <c r="L196" s="606"/>
      <c r="M196" s="607"/>
      <c r="N196" s="611"/>
      <c r="O196" s="612"/>
      <c r="P196" s="613"/>
      <c r="Q196" s="614"/>
      <c r="R196" s="741"/>
      <c r="S196" s="636"/>
      <c r="T196" s="743"/>
      <c r="U196" s="724"/>
      <c r="Y196" s="724"/>
      <c r="Z196" s="724"/>
      <c r="AA196" s="754"/>
      <c r="AB196" s="754"/>
      <c r="AC196" s="754"/>
      <c r="AD196" s="754"/>
      <c r="AE196" s="754"/>
      <c r="AF196" s="754"/>
      <c r="AG196" s="754"/>
      <c r="AH196" s="754"/>
      <c r="AI196" s="754"/>
      <c r="AJ196" s="754"/>
      <c r="AK196" s="754"/>
      <c r="AL196" s="754"/>
      <c r="AM196" s="754"/>
      <c r="AN196" s="754"/>
      <c r="AO196" s="754"/>
      <c r="AP196" s="754"/>
      <c r="AQ196" s="754"/>
      <c r="AR196" s="754"/>
      <c r="AS196" s="754"/>
      <c r="AT196" s="754"/>
      <c r="AU196" s="754"/>
      <c r="AV196" s="616"/>
      <c r="AW196" s="616"/>
      <c r="AX196" s="616"/>
      <c r="AY196" s="616"/>
      <c r="AZ196" s="616"/>
    </row>
    <row r="197" spans="2:52" x14ac:dyDescent="0.25">
      <c r="B197" s="606"/>
      <c r="C197" s="607"/>
      <c r="D197" s="608"/>
      <c r="E197" s="698"/>
      <c r="F197" s="698"/>
      <c r="G197" s="609"/>
      <c r="H197" s="610"/>
      <c r="I197" s="611"/>
      <c r="J197" s="698"/>
      <c r="K197" s="698"/>
      <c r="L197" s="606"/>
      <c r="M197" s="607"/>
      <c r="N197" s="611"/>
      <c r="O197" s="612"/>
      <c r="P197" s="613"/>
      <c r="Q197" s="614"/>
      <c r="R197" s="741"/>
      <c r="S197" s="636"/>
      <c r="T197" s="743"/>
      <c r="U197" s="724"/>
      <c r="Y197" s="724"/>
      <c r="Z197" s="724"/>
      <c r="AA197" s="754"/>
      <c r="AB197" s="754"/>
      <c r="AC197" s="754"/>
      <c r="AD197" s="754"/>
      <c r="AE197" s="754"/>
      <c r="AF197" s="754"/>
      <c r="AG197" s="754"/>
      <c r="AH197" s="754"/>
      <c r="AI197" s="754"/>
      <c r="AJ197" s="754"/>
      <c r="AK197" s="754"/>
      <c r="AL197" s="754"/>
      <c r="AM197" s="754"/>
      <c r="AN197" s="754"/>
      <c r="AO197" s="754"/>
      <c r="AP197" s="754"/>
      <c r="AQ197" s="754"/>
      <c r="AR197" s="754"/>
      <c r="AS197" s="754"/>
      <c r="AT197" s="754"/>
      <c r="AU197" s="754"/>
      <c r="AV197" s="616"/>
      <c r="AW197" s="616"/>
      <c r="AX197" s="616"/>
      <c r="AY197" s="616"/>
      <c r="AZ197" s="616"/>
    </row>
    <row r="198" spans="2:52" x14ac:dyDescent="0.25">
      <c r="B198" s="606"/>
      <c r="C198" s="607"/>
      <c r="D198" s="608"/>
      <c r="E198" s="698"/>
      <c r="F198" s="698"/>
      <c r="G198" s="609"/>
      <c r="H198" s="610"/>
      <c r="I198" s="611"/>
      <c r="J198" s="698"/>
      <c r="K198" s="698"/>
      <c r="L198" s="606"/>
      <c r="M198" s="607"/>
      <c r="N198" s="611"/>
      <c r="O198" s="612"/>
      <c r="P198" s="613"/>
      <c r="Q198" s="614"/>
      <c r="R198" s="741"/>
      <c r="S198" s="636"/>
      <c r="T198" s="743"/>
      <c r="U198" s="724"/>
      <c r="Y198" s="724"/>
      <c r="Z198" s="724"/>
      <c r="AA198" s="754"/>
      <c r="AB198" s="754"/>
      <c r="AC198" s="754"/>
      <c r="AD198" s="754"/>
      <c r="AE198" s="754"/>
      <c r="AF198" s="754"/>
      <c r="AG198" s="754"/>
      <c r="AH198" s="754"/>
      <c r="AI198" s="754"/>
      <c r="AJ198" s="754"/>
      <c r="AK198" s="754"/>
      <c r="AL198" s="754"/>
      <c r="AM198" s="754"/>
      <c r="AN198" s="754"/>
      <c r="AO198" s="754"/>
      <c r="AP198" s="754"/>
      <c r="AQ198" s="754"/>
      <c r="AR198" s="754"/>
      <c r="AS198" s="754"/>
      <c r="AT198" s="754"/>
      <c r="AU198" s="754"/>
      <c r="AV198" s="616"/>
      <c r="AW198" s="616"/>
      <c r="AX198" s="616"/>
      <c r="AY198" s="616"/>
      <c r="AZ198" s="616"/>
    </row>
    <row r="199" spans="2:52" x14ac:dyDescent="0.25">
      <c r="B199" s="606"/>
      <c r="C199" s="607"/>
      <c r="D199" s="608"/>
      <c r="E199" s="698"/>
      <c r="F199" s="698"/>
      <c r="G199" s="609"/>
      <c r="H199" s="610"/>
      <c r="I199" s="611"/>
      <c r="J199" s="698"/>
      <c r="K199" s="698"/>
      <c r="L199" s="606"/>
      <c r="M199" s="607"/>
      <c r="N199" s="611"/>
      <c r="O199" s="612"/>
      <c r="P199" s="613"/>
      <c r="Q199" s="614"/>
      <c r="R199" s="741"/>
      <c r="S199" s="636"/>
      <c r="T199" s="743"/>
      <c r="U199" s="724"/>
      <c r="Y199" s="724"/>
      <c r="Z199" s="724"/>
      <c r="AA199" s="754"/>
      <c r="AB199" s="754"/>
      <c r="AC199" s="754"/>
      <c r="AD199" s="754"/>
      <c r="AE199" s="754"/>
      <c r="AF199" s="754"/>
      <c r="AG199" s="754"/>
      <c r="AH199" s="754"/>
      <c r="AI199" s="754"/>
      <c r="AJ199" s="754"/>
      <c r="AK199" s="754"/>
      <c r="AL199" s="754"/>
      <c r="AM199" s="754"/>
      <c r="AN199" s="754"/>
      <c r="AO199" s="754"/>
      <c r="AP199" s="754"/>
      <c r="AQ199" s="754"/>
      <c r="AR199" s="754"/>
      <c r="AS199" s="754"/>
      <c r="AT199" s="754"/>
      <c r="AU199" s="754"/>
      <c r="AV199" s="616"/>
      <c r="AW199" s="616"/>
      <c r="AX199" s="616"/>
      <c r="AY199" s="616"/>
      <c r="AZ199" s="616"/>
    </row>
    <row r="200" spans="2:52" x14ac:dyDescent="0.25">
      <c r="B200" s="606"/>
      <c r="C200" s="607"/>
      <c r="D200" s="608"/>
      <c r="E200" s="698"/>
      <c r="F200" s="698"/>
      <c r="G200" s="609"/>
      <c r="H200" s="610"/>
      <c r="I200" s="611"/>
      <c r="J200" s="698"/>
      <c r="K200" s="698"/>
      <c r="L200" s="606"/>
      <c r="M200" s="607"/>
      <c r="N200" s="611"/>
      <c r="O200" s="612"/>
      <c r="P200" s="613"/>
      <c r="Q200" s="614"/>
      <c r="R200" s="741"/>
      <c r="S200" s="636"/>
      <c r="T200" s="743"/>
      <c r="U200" s="724"/>
      <c r="Y200" s="724"/>
      <c r="Z200" s="724"/>
      <c r="AA200" s="754"/>
      <c r="AB200" s="754"/>
      <c r="AC200" s="754"/>
      <c r="AD200" s="754"/>
      <c r="AE200" s="754"/>
      <c r="AF200" s="754"/>
      <c r="AG200" s="754"/>
      <c r="AH200" s="754"/>
      <c r="AI200" s="754"/>
      <c r="AJ200" s="754"/>
      <c r="AK200" s="754"/>
      <c r="AL200" s="754"/>
      <c r="AM200" s="754"/>
      <c r="AN200" s="754"/>
      <c r="AO200" s="754"/>
      <c r="AP200" s="754"/>
      <c r="AQ200" s="754"/>
      <c r="AR200" s="754"/>
      <c r="AS200" s="754"/>
      <c r="AT200" s="754"/>
      <c r="AU200" s="754"/>
      <c r="AV200" s="616"/>
      <c r="AW200" s="616"/>
      <c r="AX200" s="616"/>
      <c r="AY200" s="616"/>
      <c r="AZ200" s="616"/>
    </row>
    <row r="201" spans="2:52" x14ac:dyDescent="0.25">
      <c r="B201" s="606"/>
      <c r="C201" s="607"/>
      <c r="D201" s="608"/>
      <c r="E201" s="698"/>
      <c r="F201" s="698"/>
      <c r="G201" s="609"/>
      <c r="H201" s="610"/>
      <c r="I201" s="611"/>
      <c r="J201" s="698"/>
      <c r="K201" s="698"/>
      <c r="L201" s="606"/>
      <c r="M201" s="607"/>
      <c r="N201" s="611"/>
      <c r="O201" s="612"/>
      <c r="P201" s="613"/>
      <c r="Q201" s="614"/>
      <c r="R201" s="741"/>
      <c r="S201" s="636"/>
      <c r="T201" s="743"/>
      <c r="U201" s="724"/>
      <c r="Y201" s="724"/>
      <c r="Z201" s="724"/>
      <c r="AA201" s="754"/>
      <c r="AB201" s="754"/>
      <c r="AC201" s="754"/>
      <c r="AD201" s="754"/>
      <c r="AE201" s="754"/>
      <c r="AF201" s="754"/>
      <c r="AG201" s="754"/>
      <c r="AH201" s="754"/>
      <c r="AI201" s="754"/>
      <c r="AJ201" s="754"/>
      <c r="AK201" s="754"/>
      <c r="AL201" s="754"/>
      <c r="AM201" s="754"/>
      <c r="AN201" s="754"/>
      <c r="AO201" s="754"/>
      <c r="AP201" s="754"/>
      <c r="AQ201" s="754"/>
      <c r="AR201" s="754"/>
      <c r="AS201" s="754"/>
      <c r="AT201" s="754"/>
      <c r="AU201" s="754"/>
      <c r="AV201" s="616"/>
      <c r="AW201" s="616"/>
      <c r="AX201" s="616"/>
      <c r="AY201" s="616"/>
      <c r="AZ201" s="616"/>
    </row>
    <row r="202" spans="2:52" x14ac:dyDescent="0.25">
      <c r="B202" s="606"/>
      <c r="C202" s="607"/>
      <c r="D202" s="608"/>
      <c r="E202" s="698"/>
      <c r="F202" s="698"/>
      <c r="G202" s="609"/>
      <c r="H202" s="610"/>
      <c r="I202" s="611"/>
      <c r="J202" s="698"/>
      <c r="K202" s="698"/>
      <c r="L202" s="606"/>
      <c r="M202" s="607"/>
      <c r="N202" s="611"/>
      <c r="O202" s="612"/>
      <c r="P202" s="613"/>
      <c r="Q202" s="614"/>
      <c r="R202" s="741"/>
      <c r="S202" s="636"/>
      <c r="T202" s="743"/>
      <c r="U202" s="724"/>
      <c r="Y202" s="724"/>
      <c r="Z202" s="724"/>
      <c r="AA202" s="754"/>
      <c r="AB202" s="754"/>
      <c r="AC202" s="754"/>
      <c r="AD202" s="754"/>
      <c r="AE202" s="754"/>
      <c r="AF202" s="754"/>
      <c r="AG202" s="754"/>
      <c r="AH202" s="754"/>
      <c r="AI202" s="754"/>
      <c r="AJ202" s="754"/>
      <c r="AK202" s="754"/>
      <c r="AL202" s="754"/>
      <c r="AM202" s="754"/>
      <c r="AN202" s="754"/>
      <c r="AO202" s="754"/>
      <c r="AP202" s="754"/>
      <c r="AQ202" s="754"/>
      <c r="AR202" s="754"/>
      <c r="AS202" s="754"/>
      <c r="AT202" s="754"/>
      <c r="AU202" s="754"/>
      <c r="AV202" s="616"/>
      <c r="AW202" s="616"/>
      <c r="AX202" s="616"/>
      <c r="AY202" s="616"/>
      <c r="AZ202" s="616"/>
    </row>
    <row r="203" spans="2:52" x14ac:dyDescent="0.25">
      <c r="B203" s="606"/>
      <c r="C203" s="607"/>
      <c r="D203" s="608"/>
      <c r="E203" s="698"/>
      <c r="F203" s="698"/>
      <c r="G203" s="609"/>
      <c r="H203" s="610"/>
      <c r="I203" s="611"/>
      <c r="J203" s="698"/>
      <c r="K203" s="698"/>
      <c r="L203" s="606"/>
      <c r="M203" s="607"/>
      <c r="N203" s="611"/>
      <c r="O203" s="612"/>
      <c r="P203" s="613"/>
      <c r="Q203" s="614"/>
      <c r="R203" s="741"/>
      <c r="S203" s="636"/>
      <c r="T203" s="743"/>
      <c r="U203" s="724"/>
      <c r="Y203" s="724"/>
      <c r="Z203" s="724"/>
      <c r="AA203" s="754"/>
      <c r="AB203" s="754"/>
      <c r="AC203" s="754"/>
      <c r="AD203" s="754"/>
      <c r="AE203" s="754"/>
      <c r="AF203" s="754"/>
      <c r="AG203" s="754"/>
      <c r="AH203" s="754"/>
      <c r="AI203" s="754"/>
      <c r="AJ203" s="754"/>
      <c r="AK203" s="754"/>
      <c r="AL203" s="754"/>
      <c r="AM203" s="754"/>
      <c r="AN203" s="754"/>
      <c r="AO203" s="754"/>
      <c r="AP203" s="754"/>
      <c r="AQ203" s="754"/>
      <c r="AR203" s="754"/>
      <c r="AS203" s="754"/>
      <c r="AT203" s="754"/>
      <c r="AU203" s="754"/>
      <c r="AV203" s="616"/>
      <c r="AW203" s="616"/>
      <c r="AX203" s="616"/>
      <c r="AY203" s="616"/>
      <c r="AZ203" s="616"/>
    </row>
    <row r="204" spans="2:52" x14ac:dyDescent="0.25">
      <c r="B204" s="606"/>
      <c r="C204" s="607"/>
      <c r="D204" s="608"/>
      <c r="E204" s="698"/>
      <c r="F204" s="698"/>
      <c r="G204" s="609"/>
      <c r="H204" s="610"/>
      <c r="I204" s="611"/>
      <c r="J204" s="698"/>
      <c r="K204" s="698"/>
      <c r="L204" s="606"/>
      <c r="M204" s="607"/>
      <c r="N204" s="611"/>
      <c r="O204" s="612"/>
      <c r="P204" s="613"/>
      <c r="Q204" s="614"/>
      <c r="R204" s="741"/>
      <c r="S204" s="636"/>
      <c r="T204" s="743"/>
      <c r="U204" s="724"/>
      <c r="Y204" s="724"/>
      <c r="Z204" s="724"/>
      <c r="AA204" s="754"/>
      <c r="AB204" s="754"/>
      <c r="AC204" s="754"/>
      <c r="AD204" s="754"/>
      <c r="AE204" s="754"/>
      <c r="AF204" s="754"/>
      <c r="AG204" s="754"/>
      <c r="AH204" s="754"/>
      <c r="AI204" s="754"/>
      <c r="AJ204" s="754"/>
      <c r="AK204" s="754"/>
      <c r="AL204" s="754"/>
      <c r="AM204" s="754"/>
      <c r="AN204" s="754"/>
      <c r="AO204" s="754"/>
      <c r="AP204" s="754"/>
      <c r="AQ204" s="754"/>
      <c r="AR204" s="754"/>
      <c r="AS204" s="754"/>
      <c r="AT204" s="754"/>
      <c r="AU204" s="754"/>
      <c r="AV204" s="616"/>
      <c r="AW204" s="616"/>
      <c r="AX204" s="616"/>
      <c r="AY204" s="616"/>
      <c r="AZ204" s="616"/>
    </row>
    <row r="205" spans="2:52" x14ac:dyDescent="0.25">
      <c r="B205" s="606"/>
      <c r="C205" s="607"/>
      <c r="D205" s="608"/>
      <c r="E205" s="698"/>
      <c r="F205" s="698"/>
      <c r="G205" s="609"/>
      <c r="H205" s="610"/>
      <c r="I205" s="611"/>
      <c r="J205" s="698"/>
      <c r="K205" s="698"/>
      <c r="L205" s="606"/>
      <c r="M205" s="607"/>
      <c r="N205" s="611"/>
      <c r="O205" s="612"/>
      <c r="P205" s="613"/>
      <c r="Q205" s="614"/>
      <c r="R205" s="741"/>
      <c r="S205" s="636"/>
      <c r="T205" s="743"/>
      <c r="U205" s="724"/>
      <c r="Y205" s="724"/>
      <c r="Z205" s="724"/>
      <c r="AA205" s="754"/>
      <c r="AB205" s="754"/>
      <c r="AC205" s="754"/>
      <c r="AD205" s="754"/>
      <c r="AE205" s="754"/>
      <c r="AF205" s="754"/>
      <c r="AG205" s="754"/>
      <c r="AH205" s="754"/>
      <c r="AI205" s="754"/>
      <c r="AJ205" s="754"/>
      <c r="AK205" s="754"/>
      <c r="AL205" s="754"/>
      <c r="AM205" s="754"/>
      <c r="AN205" s="754"/>
      <c r="AO205" s="754"/>
      <c r="AP205" s="754"/>
      <c r="AQ205" s="754"/>
      <c r="AR205" s="754"/>
      <c r="AS205" s="754"/>
      <c r="AT205" s="754"/>
      <c r="AU205" s="754"/>
      <c r="AV205" s="616"/>
      <c r="AW205" s="616"/>
      <c r="AX205" s="616"/>
      <c r="AY205" s="616"/>
      <c r="AZ205" s="616"/>
    </row>
    <row r="206" spans="2:52" x14ac:dyDescent="0.25">
      <c r="B206" s="606"/>
      <c r="C206" s="607"/>
      <c r="D206" s="608"/>
      <c r="E206" s="698"/>
      <c r="F206" s="698"/>
      <c r="G206" s="609"/>
      <c r="H206" s="610"/>
      <c r="I206" s="611"/>
      <c r="J206" s="698"/>
      <c r="K206" s="698"/>
      <c r="L206" s="606"/>
      <c r="M206" s="607"/>
      <c r="N206" s="611"/>
      <c r="O206" s="612"/>
      <c r="P206" s="613"/>
      <c r="Q206" s="614"/>
      <c r="R206" s="741"/>
      <c r="S206" s="636"/>
      <c r="T206" s="743"/>
      <c r="U206" s="724"/>
      <c r="Y206" s="724"/>
      <c r="Z206" s="724"/>
      <c r="AA206" s="754"/>
      <c r="AB206" s="754"/>
      <c r="AC206" s="754"/>
      <c r="AD206" s="754"/>
      <c r="AE206" s="754"/>
      <c r="AF206" s="754"/>
      <c r="AG206" s="754"/>
      <c r="AH206" s="754"/>
      <c r="AI206" s="754"/>
      <c r="AJ206" s="754"/>
      <c r="AK206" s="754"/>
      <c r="AL206" s="754"/>
      <c r="AM206" s="754"/>
      <c r="AN206" s="754"/>
      <c r="AO206" s="754"/>
      <c r="AP206" s="754"/>
      <c r="AQ206" s="754"/>
      <c r="AR206" s="754"/>
      <c r="AS206" s="754"/>
      <c r="AT206" s="754"/>
      <c r="AU206" s="754"/>
      <c r="AV206" s="616"/>
      <c r="AW206" s="616"/>
      <c r="AX206" s="616"/>
      <c r="AY206" s="616"/>
      <c r="AZ206" s="616"/>
    </row>
    <row r="207" spans="2:52" x14ac:dyDescent="0.25">
      <c r="B207" s="606"/>
      <c r="C207" s="607"/>
      <c r="D207" s="608"/>
      <c r="E207" s="698"/>
      <c r="F207" s="698"/>
      <c r="G207" s="609"/>
      <c r="H207" s="610"/>
      <c r="I207" s="611"/>
      <c r="J207" s="698"/>
      <c r="K207" s="698"/>
      <c r="L207" s="606"/>
      <c r="M207" s="607"/>
      <c r="N207" s="611"/>
      <c r="O207" s="612"/>
      <c r="P207" s="613"/>
      <c r="Q207" s="614"/>
      <c r="R207" s="741"/>
      <c r="S207" s="636"/>
      <c r="T207" s="743"/>
      <c r="U207" s="724"/>
      <c r="Y207" s="724"/>
      <c r="Z207" s="724"/>
      <c r="AA207" s="754"/>
      <c r="AB207" s="754"/>
      <c r="AC207" s="754"/>
      <c r="AD207" s="754"/>
      <c r="AE207" s="754"/>
      <c r="AF207" s="754"/>
      <c r="AG207" s="754"/>
      <c r="AH207" s="754"/>
      <c r="AI207" s="754"/>
      <c r="AJ207" s="754"/>
      <c r="AK207" s="754"/>
      <c r="AL207" s="754"/>
      <c r="AM207" s="754"/>
      <c r="AN207" s="754"/>
      <c r="AO207" s="754"/>
      <c r="AP207" s="754"/>
      <c r="AQ207" s="754"/>
      <c r="AR207" s="754"/>
      <c r="AS207" s="754"/>
      <c r="AT207" s="754"/>
      <c r="AU207" s="754"/>
      <c r="AV207" s="616"/>
      <c r="AW207" s="616"/>
      <c r="AX207" s="616"/>
      <c r="AY207" s="616"/>
      <c r="AZ207" s="616"/>
    </row>
    <row r="208" spans="2:52" x14ac:dyDescent="0.25">
      <c r="B208" s="606"/>
      <c r="C208" s="607"/>
      <c r="D208" s="608"/>
      <c r="E208" s="698"/>
      <c r="F208" s="698"/>
      <c r="G208" s="609"/>
      <c r="H208" s="610"/>
      <c r="I208" s="611"/>
      <c r="J208" s="698"/>
      <c r="K208" s="698"/>
      <c r="L208" s="606"/>
      <c r="M208" s="607"/>
      <c r="N208" s="611"/>
      <c r="O208" s="612"/>
      <c r="P208" s="613"/>
      <c r="Q208" s="614"/>
      <c r="R208" s="741"/>
      <c r="S208" s="636"/>
      <c r="T208" s="743"/>
      <c r="U208" s="724"/>
      <c r="Y208" s="724"/>
      <c r="Z208" s="724"/>
      <c r="AA208" s="754"/>
      <c r="AB208" s="754"/>
      <c r="AC208" s="754"/>
      <c r="AD208" s="754"/>
      <c r="AE208" s="754"/>
      <c r="AF208" s="754"/>
      <c r="AG208" s="754"/>
      <c r="AH208" s="754"/>
      <c r="AI208" s="754"/>
      <c r="AJ208" s="754"/>
      <c r="AK208" s="754"/>
      <c r="AL208" s="754"/>
      <c r="AM208" s="754"/>
      <c r="AN208" s="754"/>
      <c r="AO208" s="754"/>
      <c r="AP208" s="754"/>
      <c r="AQ208" s="754"/>
      <c r="AR208" s="754"/>
      <c r="AS208" s="754"/>
      <c r="AT208" s="754"/>
      <c r="AU208" s="754"/>
      <c r="AV208" s="616"/>
      <c r="AW208" s="616"/>
      <c r="AX208" s="616"/>
      <c r="AY208" s="616"/>
      <c r="AZ208" s="616"/>
    </row>
    <row r="209" spans="2:52" x14ac:dyDescent="0.25">
      <c r="B209" s="606"/>
      <c r="C209" s="607"/>
      <c r="D209" s="608"/>
      <c r="E209" s="698"/>
      <c r="F209" s="698"/>
      <c r="G209" s="609"/>
      <c r="H209" s="610"/>
      <c r="I209" s="611"/>
      <c r="J209" s="698"/>
      <c r="K209" s="698"/>
      <c r="L209" s="606"/>
      <c r="M209" s="607"/>
      <c r="N209" s="611"/>
      <c r="O209" s="612"/>
      <c r="P209" s="613"/>
      <c r="Q209" s="614"/>
      <c r="R209" s="741"/>
      <c r="S209" s="636"/>
      <c r="T209" s="743"/>
      <c r="U209" s="724"/>
      <c r="Y209" s="724"/>
      <c r="Z209" s="724"/>
      <c r="AA209" s="754"/>
      <c r="AB209" s="754"/>
      <c r="AC209" s="754"/>
      <c r="AD209" s="754"/>
      <c r="AE209" s="754"/>
      <c r="AF209" s="754"/>
      <c r="AG209" s="754"/>
      <c r="AH209" s="754"/>
      <c r="AI209" s="754"/>
      <c r="AJ209" s="754"/>
      <c r="AK209" s="754"/>
      <c r="AL209" s="754"/>
      <c r="AM209" s="754"/>
      <c r="AN209" s="754"/>
      <c r="AO209" s="754"/>
      <c r="AP209" s="754"/>
      <c r="AQ209" s="754"/>
      <c r="AR209" s="754"/>
      <c r="AS209" s="754"/>
      <c r="AT209" s="754"/>
      <c r="AU209" s="754"/>
      <c r="AV209" s="616"/>
      <c r="AW209" s="616"/>
      <c r="AX209" s="616"/>
      <c r="AY209" s="616"/>
      <c r="AZ209" s="616"/>
    </row>
    <row r="210" spans="2:52" x14ac:dyDescent="0.25">
      <c r="B210" s="606"/>
      <c r="C210" s="607"/>
      <c r="D210" s="608"/>
      <c r="E210" s="698"/>
      <c r="F210" s="698"/>
      <c r="G210" s="609"/>
      <c r="H210" s="610"/>
      <c r="I210" s="611"/>
      <c r="J210" s="698"/>
      <c r="K210" s="698"/>
      <c r="L210" s="606"/>
      <c r="M210" s="607"/>
      <c r="N210" s="611"/>
      <c r="O210" s="612"/>
      <c r="P210" s="613"/>
      <c r="Q210" s="614"/>
      <c r="R210" s="741"/>
      <c r="S210" s="636"/>
      <c r="T210" s="743"/>
      <c r="U210" s="724"/>
      <c r="Y210" s="724"/>
      <c r="Z210" s="724"/>
      <c r="AA210" s="754"/>
      <c r="AB210" s="754"/>
      <c r="AC210" s="754"/>
      <c r="AD210" s="754"/>
      <c r="AE210" s="754"/>
      <c r="AF210" s="754"/>
      <c r="AG210" s="754"/>
      <c r="AH210" s="754"/>
      <c r="AI210" s="754"/>
      <c r="AJ210" s="754"/>
      <c r="AK210" s="754"/>
      <c r="AL210" s="754"/>
      <c r="AM210" s="754"/>
      <c r="AN210" s="754"/>
      <c r="AO210" s="754"/>
      <c r="AP210" s="754"/>
      <c r="AQ210" s="754"/>
      <c r="AR210" s="754"/>
      <c r="AS210" s="754"/>
      <c r="AT210" s="754"/>
      <c r="AU210" s="754"/>
      <c r="AV210" s="616"/>
      <c r="AW210" s="616"/>
      <c r="AX210" s="616"/>
      <c r="AY210" s="616"/>
      <c r="AZ210" s="616"/>
    </row>
    <row r="211" spans="2:52" x14ac:dyDescent="0.25">
      <c r="B211" s="606"/>
      <c r="C211" s="607"/>
      <c r="D211" s="608"/>
      <c r="E211" s="698"/>
      <c r="F211" s="698"/>
      <c r="G211" s="609"/>
      <c r="H211" s="610"/>
      <c r="I211" s="611"/>
      <c r="J211" s="698"/>
      <c r="K211" s="698"/>
      <c r="L211" s="606"/>
      <c r="M211" s="607"/>
      <c r="N211" s="611"/>
      <c r="O211" s="612"/>
      <c r="P211" s="613"/>
      <c r="Q211" s="614"/>
      <c r="R211" s="741"/>
      <c r="S211" s="636"/>
      <c r="T211" s="743"/>
      <c r="U211" s="724"/>
      <c r="Y211" s="724"/>
      <c r="Z211" s="724"/>
      <c r="AA211" s="754"/>
      <c r="AB211" s="754"/>
      <c r="AC211" s="754"/>
      <c r="AD211" s="754"/>
      <c r="AE211" s="754"/>
      <c r="AF211" s="754"/>
      <c r="AG211" s="754"/>
      <c r="AH211" s="754"/>
      <c r="AI211" s="754"/>
      <c r="AJ211" s="754"/>
      <c r="AK211" s="754"/>
      <c r="AL211" s="754"/>
      <c r="AM211" s="754"/>
      <c r="AN211" s="754"/>
      <c r="AO211" s="754"/>
      <c r="AP211" s="754"/>
      <c r="AQ211" s="754"/>
      <c r="AR211" s="754"/>
      <c r="AS211" s="754"/>
      <c r="AT211" s="754"/>
      <c r="AU211" s="754"/>
      <c r="AV211" s="616"/>
      <c r="AW211" s="616"/>
      <c r="AX211" s="616"/>
      <c r="AY211" s="616"/>
      <c r="AZ211" s="616"/>
    </row>
    <row r="212" spans="2:52" x14ac:dyDescent="0.25">
      <c r="B212" s="606"/>
      <c r="C212" s="607"/>
      <c r="D212" s="608"/>
      <c r="E212" s="698"/>
      <c r="F212" s="698"/>
      <c r="G212" s="609"/>
      <c r="H212" s="610"/>
      <c r="I212" s="611"/>
      <c r="J212" s="698"/>
      <c r="K212" s="698"/>
      <c r="L212" s="606"/>
      <c r="M212" s="607"/>
      <c r="N212" s="611"/>
      <c r="O212" s="612"/>
      <c r="P212" s="613"/>
      <c r="Q212" s="614"/>
      <c r="R212" s="741"/>
      <c r="S212" s="636"/>
      <c r="T212" s="743"/>
      <c r="U212" s="724"/>
      <c r="Y212" s="724"/>
      <c r="Z212" s="724"/>
      <c r="AA212" s="754"/>
      <c r="AB212" s="754"/>
      <c r="AC212" s="754"/>
      <c r="AD212" s="754"/>
      <c r="AE212" s="754"/>
      <c r="AF212" s="754"/>
      <c r="AG212" s="754"/>
      <c r="AH212" s="754"/>
      <c r="AI212" s="754"/>
      <c r="AJ212" s="754"/>
      <c r="AK212" s="754"/>
      <c r="AL212" s="754"/>
      <c r="AM212" s="754"/>
      <c r="AN212" s="754"/>
      <c r="AO212" s="754"/>
      <c r="AP212" s="754"/>
      <c r="AQ212" s="754"/>
      <c r="AR212" s="754"/>
      <c r="AS212" s="754"/>
      <c r="AT212" s="754"/>
      <c r="AU212" s="754"/>
      <c r="AV212" s="616"/>
      <c r="AW212" s="616"/>
      <c r="AX212" s="616"/>
      <c r="AY212" s="616"/>
      <c r="AZ212" s="616"/>
    </row>
    <row r="213" spans="2:52" x14ac:dyDescent="0.25">
      <c r="B213" s="606"/>
      <c r="C213" s="607"/>
      <c r="D213" s="608"/>
      <c r="E213" s="698"/>
      <c r="F213" s="698"/>
      <c r="G213" s="609"/>
      <c r="H213" s="610"/>
      <c r="I213" s="611"/>
      <c r="J213" s="698"/>
      <c r="K213" s="698"/>
      <c r="L213" s="606"/>
      <c r="M213" s="607"/>
      <c r="N213" s="611"/>
      <c r="O213" s="612"/>
      <c r="P213" s="613"/>
      <c r="Q213" s="614"/>
      <c r="R213" s="741"/>
      <c r="S213" s="636"/>
      <c r="T213" s="743"/>
      <c r="U213" s="724"/>
      <c r="Y213" s="724"/>
      <c r="Z213" s="724"/>
      <c r="AA213" s="754"/>
      <c r="AB213" s="754"/>
      <c r="AC213" s="754"/>
      <c r="AD213" s="754"/>
      <c r="AE213" s="754"/>
      <c r="AF213" s="754"/>
      <c r="AG213" s="754"/>
      <c r="AH213" s="754"/>
      <c r="AI213" s="754"/>
      <c r="AJ213" s="754"/>
      <c r="AK213" s="754"/>
      <c r="AL213" s="754"/>
      <c r="AM213" s="754"/>
      <c r="AN213" s="754"/>
      <c r="AO213" s="754"/>
      <c r="AP213" s="754"/>
      <c r="AQ213" s="754"/>
      <c r="AR213" s="754"/>
      <c r="AS213" s="754"/>
      <c r="AT213" s="754"/>
      <c r="AU213" s="754"/>
      <c r="AV213" s="616"/>
      <c r="AW213" s="616"/>
      <c r="AX213" s="616"/>
      <c r="AY213" s="616"/>
      <c r="AZ213" s="616"/>
    </row>
    <row r="214" spans="2:52" x14ac:dyDescent="0.25">
      <c r="B214" s="606"/>
      <c r="C214" s="607"/>
      <c r="D214" s="608"/>
      <c r="E214" s="698"/>
      <c r="F214" s="698"/>
      <c r="G214" s="609"/>
      <c r="H214" s="610"/>
      <c r="I214" s="611"/>
      <c r="J214" s="698"/>
      <c r="K214" s="698"/>
      <c r="L214" s="606"/>
      <c r="M214" s="607"/>
      <c r="N214" s="611"/>
      <c r="O214" s="612"/>
      <c r="P214" s="613"/>
      <c r="Q214" s="614"/>
      <c r="R214" s="741"/>
      <c r="S214" s="636"/>
      <c r="T214" s="743"/>
      <c r="U214" s="724"/>
      <c r="Y214" s="724"/>
      <c r="Z214" s="724"/>
      <c r="AA214" s="754"/>
      <c r="AB214" s="754"/>
      <c r="AC214" s="754"/>
      <c r="AD214" s="754"/>
      <c r="AE214" s="754"/>
      <c r="AF214" s="754"/>
      <c r="AG214" s="754"/>
      <c r="AH214" s="754"/>
      <c r="AI214" s="754"/>
      <c r="AJ214" s="754"/>
      <c r="AK214" s="754"/>
      <c r="AL214" s="754"/>
      <c r="AM214" s="754"/>
      <c r="AN214" s="754"/>
      <c r="AO214" s="754"/>
      <c r="AP214" s="754"/>
      <c r="AQ214" s="754"/>
      <c r="AR214" s="754"/>
      <c r="AS214" s="754"/>
      <c r="AT214" s="754"/>
      <c r="AU214" s="754"/>
      <c r="AV214" s="616"/>
      <c r="AW214" s="616"/>
      <c r="AX214" s="616"/>
      <c r="AY214" s="616"/>
      <c r="AZ214" s="616"/>
    </row>
    <row r="215" spans="2:52" x14ac:dyDescent="0.25">
      <c r="B215" s="606"/>
      <c r="C215" s="607"/>
      <c r="D215" s="608"/>
      <c r="E215" s="698"/>
      <c r="F215" s="698"/>
      <c r="G215" s="609"/>
      <c r="H215" s="610"/>
      <c r="I215" s="611"/>
      <c r="J215" s="698"/>
      <c r="K215" s="698"/>
      <c r="L215" s="606"/>
      <c r="M215" s="607"/>
      <c r="N215" s="611"/>
      <c r="O215" s="612"/>
      <c r="P215" s="613"/>
      <c r="Q215" s="614"/>
      <c r="R215" s="741"/>
      <c r="S215" s="636"/>
      <c r="T215" s="743"/>
      <c r="U215" s="724"/>
      <c r="Y215" s="724"/>
      <c r="Z215" s="724"/>
      <c r="AA215" s="754"/>
      <c r="AB215" s="754"/>
      <c r="AC215" s="754"/>
      <c r="AD215" s="754"/>
      <c r="AE215" s="754"/>
      <c r="AF215" s="754"/>
      <c r="AG215" s="754"/>
      <c r="AH215" s="754"/>
      <c r="AI215" s="754"/>
      <c r="AJ215" s="754"/>
      <c r="AK215" s="754"/>
      <c r="AL215" s="754"/>
      <c r="AM215" s="754"/>
      <c r="AN215" s="754"/>
      <c r="AO215" s="754"/>
      <c r="AP215" s="754"/>
      <c r="AQ215" s="754"/>
      <c r="AR215" s="754"/>
      <c r="AS215" s="754"/>
      <c r="AT215" s="754"/>
      <c r="AU215" s="754"/>
      <c r="AV215" s="616"/>
      <c r="AW215" s="616"/>
      <c r="AX215" s="616"/>
      <c r="AY215" s="616"/>
      <c r="AZ215" s="616"/>
    </row>
    <row r="216" spans="2:52" x14ac:dyDescent="0.25">
      <c r="B216" s="606"/>
      <c r="C216" s="607"/>
      <c r="D216" s="608"/>
      <c r="E216" s="698"/>
      <c r="F216" s="698"/>
      <c r="G216" s="609"/>
      <c r="H216" s="610"/>
      <c r="I216" s="611"/>
      <c r="J216" s="698"/>
      <c r="K216" s="698"/>
      <c r="L216" s="606"/>
      <c r="M216" s="607"/>
      <c r="N216" s="611"/>
      <c r="O216" s="612"/>
      <c r="P216" s="613"/>
      <c r="Q216" s="614"/>
      <c r="R216" s="741"/>
      <c r="S216" s="636"/>
      <c r="T216" s="743"/>
      <c r="U216" s="724"/>
      <c r="Y216" s="724"/>
      <c r="Z216" s="724"/>
      <c r="AA216" s="754"/>
      <c r="AB216" s="754"/>
      <c r="AC216" s="754"/>
      <c r="AD216" s="754"/>
      <c r="AE216" s="754"/>
      <c r="AF216" s="754"/>
      <c r="AG216" s="754"/>
      <c r="AH216" s="754"/>
      <c r="AI216" s="754"/>
      <c r="AJ216" s="754"/>
      <c r="AK216" s="754"/>
      <c r="AL216" s="754"/>
      <c r="AM216" s="754"/>
      <c r="AN216" s="754"/>
      <c r="AO216" s="754"/>
      <c r="AP216" s="754"/>
      <c r="AQ216" s="754"/>
      <c r="AR216" s="754"/>
      <c r="AS216" s="754"/>
      <c r="AT216" s="754"/>
      <c r="AU216" s="754"/>
      <c r="AV216" s="616"/>
      <c r="AW216" s="616"/>
      <c r="AX216" s="616"/>
      <c r="AY216" s="616"/>
      <c r="AZ216" s="616"/>
    </row>
    <row r="217" spans="2:52" x14ac:dyDescent="0.25">
      <c r="B217" s="606"/>
      <c r="C217" s="607"/>
      <c r="D217" s="608"/>
      <c r="E217" s="698"/>
      <c r="F217" s="698"/>
      <c r="G217" s="609"/>
      <c r="H217" s="610"/>
      <c r="I217" s="611"/>
      <c r="J217" s="698"/>
      <c r="K217" s="698"/>
      <c r="L217" s="606"/>
      <c r="M217" s="607"/>
      <c r="N217" s="611"/>
      <c r="O217" s="612"/>
      <c r="P217" s="613"/>
      <c r="Q217" s="614"/>
      <c r="R217" s="741"/>
      <c r="S217" s="636"/>
      <c r="T217" s="743"/>
      <c r="U217" s="724"/>
      <c r="Y217" s="724"/>
      <c r="Z217" s="724"/>
      <c r="AA217" s="754"/>
      <c r="AB217" s="754"/>
      <c r="AC217" s="754"/>
      <c r="AD217" s="754"/>
      <c r="AE217" s="754"/>
      <c r="AF217" s="754"/>
      <c r="AG217" s="754"/>
      <c r="AH217" s="754"/>
      <c r="AI217" s="754"/>
      <c r="AJ217" s="754"/>
      <c r="AK217" s="754"/>
      <c r="AL217" s="754"/>
      <c r="AM217" s="754"/>
      <c r="AN217" s="754"/>
      <c r="AO217" s="754"/>
      <c r="AP217" s="754"/>
      <c r="AQ217" s="754"/>
      <c r="AR217" s="754"/>
      <c r="AS217" s="754"/>
      <c r="AT217" s="754"/>
      <c r="AU217" s="754"/>
      <c r="AV217" s="616"/>
      <c r="AW217" s="616"/>
      <c r="AX217" s="616"/>
      <c r="AY217" s="616"/>
      <c r="AZ217" s="616"/>
    </row>
    <row r="218" spans="2:52" x14ac:dyDescent="0.25">
      <c r="B218" s="606"/>
      <c r="C218" s="607"/>
      <c r="D218" s="608"/>
      <c r="E218" s="698"/>
      <c r="F218" s="698"/>
      <c r="G218" s="609"/>
      <c r="H218" s="610"/>
      <c r="I218" s="611"/>
      <c r="J218" s="698"/>
      <c r="K218" s="698"/>
      <c r="L218" s="606"/>
      <c r="M218" s="607"/>
      <c r="N218" s="611"/>
      <c r="O218" s="612"/>
      <c r="P218" s="613"/>
      <c r="Q218" s="614"/>
      <c r="R218" s="741"/>
      <c r="S218" s="636"/>
      <c r="T218" s="743"/>
      <c r="U218" s="724"/>
      <c r="Y218" s="724"/>
      <c r="Z218" s="724"/>
      <c r="AA218" s="754"/>
      <c r="AB218" s="754"/>
      <c r="AC218" s="754"/>
      <c r="AD218" s="754"/>
      <c r="AE218" s="754"/>
      <c r="AF218" s="754"/>
      <c r="AG218" s="754"/>
      <c r="AH218" s="754"/>
      <c r="AI218" s="754"/>
      <c r="AJ218" s="754"/>
      <c r="AK218" s="754"/>
      <c r="AL218" s="754"/>
      <c r="AM218" s="754"/>
      <c r="AN218" s="754"/>
      <c r="AO218" s="754"/>
      <c r="AP218" s="754"/>
      <c r="AQ218" s="754"/>
      <c r="AR218" s="754"/>
      <c r="AS218" s="754"/>
      <c r="AT218" s="754"/>
      <c r="AU218" s="754"/>
      <c r="AV218" s="616"/>
      <c r="AW218" s="616"/>
      <c r="AX218" s="616"/>
      <c r="AY218" s="616"/>
      <c r="AZ218" s="616"/>
    </row>
    <row r="219" spans="2:52" x14ac:dyDescent="0.25">
      <c r="B219" s="606"/>
      <c r="C219" s="607"/>
      <c r="D219" s="608"/>
      <c r="E219" s="698"/>
      <c r="F219" s="698"/>
      <c r="G219" s="609"/>
      <c r="H219" s="610"/>
      <c r="I219" s="611"/>
      <c r="J219" s="698"/>
      <c r="K219" s="698"/>
      <c r="L219" s="606"/>
      <c r="M219" s="607"/>
      <c r="N219" s="611"/>
      <c r="O219" s="612"/>
      <c r="P219" s="613"/>
      <c r="Q219" s="614"/>
      <c r="R219" s="741"/>
      <c r="S219" s="636"/>
      <c r="T219" s="743"/>
      <c r="U219" s="724"/>
      <c r="Y219" s="724"/>
      <c r="Z219" s="724"/>
      <c r="AA219" s="754"/>
      <c r="AB219" s="754"/>
      <c r="AC219" s="754"/>
      <c r="AD219" s="754"/>
      <c r="AE219" s="754"/>
      <c r="AF219" s="754"/>
      <c r="AG219" s="754"/>
      <c r="AH219" s="754"/>
      <c r="AI219" s="754"/>
      <c r="AJ219" s="754"/>
      <c r="AK219" s="754"/>
      <c r="AL219" s="754"/>
      <c r="AM219" s="754"/>
      <c r="AN219" s="754"/>
      <c r="AO219" s="754"/>
      <c r="AP219" s="754"/>
      <c r="AQ219" s="754"/>
      <c r="AR219" s="754"/>
      <c r="AS219" s="754"/>
      <c r="AT219" s="754"/>
      <c r="AU219" s="754"/>
      <c r="AV219" s="616"/>
      <c r="AW219" s="616"/>
      <c r="AX219" s="616"/>
      <c r="AY219" s="616"/>
      <c r="AZ219" s="616"/>
    </row>
    <row r="220" spans="2:52" x14ac:dyDescent="0.25">
      <c r="B220" s="606"/>
      <c r="C220" s="607"/>
      <c r="D220" s="608"/>
      <c r="E220" s="698"/>
      <c r="F220" s="698"/>
      <c r="G220" s="609"/>
      <c r="H220" s="610"/>
      <c r="I220" s="611"/>
      <c r="J220" s="698"/>
      <c r="K220" s="698"/>
      <c r="L220" s="606"/>
      <c r="M220" s="607"/>
      <c r="N220" s="611"/>
      <c r="O220" s="612"/>
      <c r="P220" s="613"/>
      <c r="Q220" s="614"/>
      <c r="R220" s="741"/>
      <c r="S220" s="636"/>
      <c r="T220" s="743"/>
      <c r="U220" s="724"/>
      <c r="Y220" s="724"/>
      <c r="Z220" s="724"/>
      <c r="AA220" s="754"/>
      <c r="AB220" s="754"/>
      <c r="AC220" s="754"/>
      <c r="AD220" s="754"/>
      <c r="AE220" s="754"/>
      <c r="AF220" s="754"/>
      <c r="AG220" s="754"/>
      <c r="AH220" s="754"/>
      <c r="AI220" s="754"/>
      <c r="AJ220" s="754"/>
      <c r="AK220" s="754"/>
      <c r="AL220" s="754"/>
      <c r="AM220" s="754"/>
      <c r="AN220" s="754"/>
      <c r="AO220" s="754"/>
      <c r="AP220" s="754"/>
      <c r="AQ220" s="754"/>
      <c r="AR220" s="754"/>
      <c r="AS220" s="754"/>
      <c r="AT220" s="754"/>
      <c r="AU220" s="754"/>
      <c r="AV220" s="616"/>
      <c r="AW220" s="616"/>
      <c r="AX220" s="616"/>
      <c r="AY220" s="616"/>
      <c r="AZ220" s="616"/>
    </row>
    <row r="221" spans="2:52" x14ac:dyDescent="0.25">
      <c r="B221" s="606"/>
      <c r="C221" s="607"/>
      <c r="D221" s="608"/>
      <c r="E221" s="698"/>
      <c r="F221" s="698"/>
      <c r="G221" s="609"/>
      <c r="H221" s="610"/>
      <c r="I221" s="611"/>
      <c r="J221" s="698"/>
      <c r="K221" s="698"/>
      <c r="L221" s="606"/>
      <c r="M221" s="607"/>
      <c r="N221" s="611"/>
      <c r="O221" s="612"/>
      <c r="P221" s="613"/>
      <c r="Q221" s="614"/>
      <c r="R221" s="741"/>
      <c r="S221" s="636"/>
      <c r="T221" s="743"/>
      <c r="U221" s="724"/>
      <c r="Y221" s="724"/>
      <c r="Z221" s="724"/>
      <c r="AA221" s="754"/>
      <c r="AB221" s="754"/>
      <c r="AC221" s="754"/>
      <c r="AD221" s="754"/>
      <c r="AE221" s="754"/>
      <c r="AF221" s="754"/>
      <c r="AG221" s="754"/>
      <c r="AH221" s="754"/>
      <c r="AI221" s="754"/>
      <c r="AJ221" s="754"/>
      <c r="AK221" s="754"/>
      <c r="AL221" s="754"/>
      <c r="AM221" s="754"/>
      <c r="AN221" s="754"/>
      <c r="AO221" s="754"/>
      <c r="AP221" s="754"/>
      <c r="AQ221" s="754"/>
      <c r="AR221" s="754"/>
      <c r="AS221" s="754"/>
      <c r="AT221" s="754"/>
      <c r="AU221" s="754"/>
      <c r="AV221" s="616"/>
      <c r="AW221" s="616"/>
      <c r="AX221" s="616"/>
      <c r="AY221" s="616"/>
      <c r="AZ221" s="616"/>
    </row>
    <row r="222" spans="2:52" x14ac:dyDescent="0.25">
      <c r="B222" s="606"/>
      <c r="C222" s="607"/>
      <c r="D222" s="608"/>
      <c r="E222" s="698"/>
      <c r="F222" s="698"/>
      <c r="G222" s="609"/>
      <c r="H222" s="610"/>
      <c r="I222" s="611"/>
      <c r="J222" s="698"/>
      <c r="K222" s="698"/>
      <c r="L222" s="606"/>
      <c r="M222" s="607"/>
      <c r="N222" s="611"/>
      <c r="O222" s="612"/>
      <c r="P222" s="613"/>
      <c r="Q222" s="614"/>
      <c r="R222" s="741"/>
      <c r="S222" s="636"/>
      <c r="T222" s="743"/>
      <c r="U222" s="724"/>
      <c r="Y222" s="724"/>
      <c r="Z222" s="724"/>
      <c r="AA222" s="754"/>
      <c r="AB222" s="754"/>
      <c r="AC222" s="754"/>
      <c r="AD222" s="754"/>
      <c r="AE222" s="754"/>
      <c r="AF222" s="754"/>
      <c r="AG222" s="754"/>
      <c r="AH222" s="754"/>
      <c r="AI222" s="754"/>
      <c r="AJ222" s="754"/>
      <c r="AK222" s="754"/>
      <c r="AL222" s="754"/>
      <c r="AM222" s="754"/>
      <c r="AN222" s="754"/>
      <c r="AO222" s="754"/>
      <c r="AP222" s="754"/>
      <c r="AQ222" s="754"/>
      <c r="AR222" s="754"/>
      <c r="AS222" s="754"/>
      <c r="AT222" s="754"/>
      <c r="AU222" s="754"/>
      <c r="AV222" s="616"/>
      <c r="AW222" s="616"/>
      <c r="AX222" s="616"/>
      <c r="AY222" s="616"/>
      <c r="AZ222" s="616"/>
    </row>
    <row r="223" spans="2:52" x14ac:dyDescent="0.25">
      <c r="B223" s="606"/>
      <c r="C223" s="607"/>
      <c r="D223" s="608"/>
      <c r="E223" s="698"/>
      <c r="F223" s="698"/>
      <c r="G223" s="609"/>
      <c r="H223" s="610"/>
      <c r="I223" s="611"/>
      <c r="J223" s="698"/>
      <c r="K223" s="698"/>
      <c r="L223" s="606"/>
      <c r="M223" s="607"/>
      <c r="N223" s="611"/>
      <c r="O223" s="612"/>
      <c r="P223" s="613"/>
      <c r="Q223" s="614"/>
      <c r="R223" s="741"/>
      <c r="S223" s="636"/>
      <c r="T223" s="743"/>
      <c r="U223" s="724"/>
      <c r="Y223" s="724"/>
      <c r="Z223" s="724"/>
      <c r="AA223" s="754"/>
      <c r="AB223" s="754"/>
      <c r="AC223" s="754"/>
      <c r="AD223" s="754"/>
      <c r="AE223" s="754"/>
      <c r="AF223" s="754"/>
      <c r="AG223" s="754"/>
      <c r="AH223" s="754"/>
      <c r="AI223" s="754"/>
      <c r="AJ223" s="754"/>
      <c r="AK223" s="754"/>
      <c r="AL223" s="754"/>
      <c r="AM223" s="754"/>
      <c r="AN223" s="754"/>
      <c r="AO223" s="754"/>
      <c r="AP223" s="754"/>
      <c r="AQ223" s="754"/>
      <c r="AR223" s="754"/>
      <c r="AS223" s="754"/>
      <c r="AT223" s="754"/>
      <c r="AU223" s="754"/>
      <c r="AV223" s="616"/>
      <c r="AW223" s="616"/>
      <c r="AX223" s="616"/>
      <c r="AY223" s="616"/>
      <c r="AZ223" s="616"/>
    </row>
    <row r="224" spans="2:52" x14ac:dyDescent="0.25">
      <c r="B224" s="606"/>
      <c r="C224" s="607"/>
      <c r="D224" s="608"/>
      <c r="E224" s="698"/>
      <c r="F224" s="698"/>
      <c r="G224" s="609"/>
      <c r="H224" s="610"/>
      <c r="I224" s="611"/>
      <c r="J224" s="698"/>
      <c r="K224" s="698"/>
      <c r="L224" s="606"/>
      <c r="M224" s="607"/>
      <c r="N224" s="611"/>
      <c r="O224" s="612"/>
      <c r="P224" s="613"/>
      <c r="Q224" s="614"/>
      <c r="R224" s="741"/>
      <c r="S224" s="636"/>
      <c r="T224" s="743"/>
      <c r="U224" s="724"/>
      <c r="Y224" s="724"/>
      <c r="Z224" s="724"/>
      <c r="AA224" s="754"/>
      <c r="AB224" s="754"/>
      <c r="AC224" s="754"/>
      <c r="AD224" s="754"/>
      <c r="AE224" s="754"/>
      <c r="AF224" s="754"/>
      <c r="AG224" s="754"/>
      <c r="AH224" s="754"/>
      <c r="AI224" s="754"/>
      <c r="AJ224" s="754"/>
      <c r="AK224" s="754"/>
      <c r="AL224" s="754"/>
      <c r="AM224" s="754"/>
      <c r="AN224" s="754"/>
      <c r="AO224" s="754"/>
      <c r="AP224" s="754"/>
      <c r="AQ224" s="754"/>
      <c r="AR224" s="754"/>
      <c r="AS224" s="754"/>
      <c r="AT224" s="754"/>
      <c r="AU224" s="754"/>
      <c r="AV224" s="616"/>
      <c r="AW224" s="616"/>
      <c r="AX224" s="616"/>
      <c r="AY224" s="616"/>
      <c r="AZ224" s="616"/>
    </row>
    <row r="225" spans="2:52" x14ac:dyDescent="0.25">
      <c r="B225" s="606"/>
      <c r="C225" s="607"/>
      <c r="D225" s="608"/>
      <c r="E225" s="698"/>
      <c r="F225" s="698"/>
      <c r="G225" s="609"/>
      <c r="H225" s="610"/>
      <c r="I225" s="611"/>
      <c r="J225" s="698"/>
      <c r="K225" s="698"/>
      <c r="L225" s="606"/>
      <c r="M225" s="607"/>
      <c r="N225" s="611"/>
      <c r="O225" s="612"/>
      <c r="P225" s="613"/>
      <c r="Q225" s="614"/>
      <c r="R225" s="741"/>
      <c r="S225" s="636"/>
      <c r="T225" s="743"/>
      <c r="U225" s="724"/>
      <c r="Y225" s="724"/>
      <c r="Z225" s="724"/>
      <c r="AA225" s="754"/>
      <c r="AB225" s="754"/>
      <c r="AC225" s="754"/>
      <c r="AD225" s="754"/>
      <c r="AE225" s="754"/>
      <c r="AF225" s="754"/>
      <c r="AG225" s="754"/>
      <c r="AH225" s="754"/>
      <c r="AI225" s="754"/>
      <c r="AJ225" s="754"/>
      <c r="AK225" s="754"/>
      <c r="AL225" s="754"/>
      <c r="AM225" s="754"/>
      <c r="AN225" s="754"/>
      <c r="AO225" s="754"/>
      <c r="AP225" s="754"/>
      <c r="AQ225" s="754"/>
      <c r="AR225" s="754"/>
      <c r="AS225" s="754"/>
      <c r="AT225" s="754"/>
      <c r="AU225" s="754"/>
      <c r="AV225" s="616"/>
      <c r="AW225" s="616"/>
      <c r="AX225" s="616"/>
      <c r="AY225" s="616"/>
      <c r="AZ225" s="616"/>
    </row>
    <row r="226" spans="2:52" x14ac:dyDescent="0.25">
      <c r="B226" s="606"/>
      <c r="C226" s="607"/>
      <c r="D226" s="608"/>
      <c r="E226" s="698"/>
      <c r="F226" s="698"/>
      <c r="G226" s="609"/>
      <c r="H226" s="610"/>
      <c r="I226" s="611"/>
      <c r="J226" s="698"/>
      <c r="K226" s="698"/>
      <c r="L226" s="606"/>
      <c r="M226" s="607"/>
      <c r="N226" s="611"/>
      <c r="O226" s="612"/>
      <c r="P226" s="613"/>
      <c r="Q226" s="614"/>
      <c r="R226" s="741"/>
      <c r="S226" s="636"/>
      <c r="T226" s="743"/>
      <c r="U226" s="724"/>
      <c r="Y226" s="724"/>
      <c r="Z226" s="724"/>
      <c r="AA226" s="754"/>
      <c r="AB226" s="754"/>
      <c r="AC226" s="754"/>
      <c r="AD226" s="754"/>
      <c r="AE226" s="754"/>
      <c r="AF226" s="754"/>
      <c r="AG226" s="754"/>
      <c r="AH226" s="754"/>
      <c r="AI226" s="754"/>
      <c r="AJ226" s="754"/>
      <c r="AK226" s="754"/>
      <c r="AL226" s="754"/>
      <c r="AM226" s="754"/>
      <c r="AN226" s="754"/>
      <c r="AO226" s="754"/>
      <c r="AP226" s="754"/>
      <c r="AQ226" s="754"/>
      <c r="AR226" s="754"/>
      <c r="AS226" s="754"/>
      <c r="AT226" s="754"/>
      <c r="AU226" s="754"/>
      <c r="AV226" s="616"/>
      <c r="AW226" s="616"/>
      <c r="AX226" s="616"/>
      <c r="AY226" s="616"/>
      <c r="AZ226" s="616"/>
    </row>
    <row r="227" spans="2:52" x14ac:dyDescent="0.25">
      <c r="B227" s="606"/>
      <c r="C227" s="607"/>
      <c r="D227" s="608"/>
      <c r="E227" s="698"/>
      <c r="F227" s="698"/>
      <c r="G227" s="609"/>
      <c r="H227" s="610"/>
      <c r="I227" s="611"/>
      <c r="J227" s="698"/>
      <c r="K227" s="698"/>
      <c r="L227" s="606"/>
      <c r="M227" s="607"/>
      <c r="N227" s="611"/>
      <c r="O227" s="612"/>
      <c r="P227" s="613"/>
      <c r="Q227" s="614"/>
      <c r="R227" s="741"/>
      <c r="S227" s="636"/>
      <c r="T227" s="743"/>
      <c r="U227" s="724"/>
      <c r="Y227" s="724"/>
      <c r="Z227" s="724"/>
      <c r="AA227" s="754"/>
      <c r="AB227" s="754"/>
      <c r="AC227" s="754"/>
      <c r="AD227" s="754"/>
      <c r="AE227" s="754"/>
      <c r="AF227" s="754"/>
      <c r="AG227" s="754"/>
      <c r="AH227" s="754"/>
      <c r="AI227" s="754"/>
      <c r="AJ227" s="754"/>
      <c r="AK227" s="754"/>
      <c r="AL227" s="754"/>
      <c r="AM227" s="754"/>
      <c r="AN227" s="754"/>
      <c r="AO227" s="754"/>
      <c r="AP227" s="754"/>
      <c r="AQ227" s="754"/>
      <c r="AR227" s="754"/>
      <c r="AS227" s="754"/>
      <c r="AT227" s="754"/>
      <c r="AU227" s="754"/>
      <c r="AV227" s="616"/>
      <c r="AW227" s="616"/>
      <c r="AX227" s="616"/>
      <c r="AY227" s="616"/>
      <c r="AZ227" s="616"/>
    </row>
    <row r="228" spans="2:52" x14ac:dyDescent="0.25">
      <c r="B228" s="606"/>
      <c r="C228" s="607"/>
      <c r="D228" s="608"/>
      <c r="E228" s="698"/>
      <c r="F228" s="698"/>
      <c r="G228" s="609"/>
      <c r="H228" s="610"/>
      <c r="I228" s="611"/>
      <c r="J228" s="698"/>
      <c r="K228" s="698"/>
      <c r="L228" s="606"/>
      <c r="M228" s="607"/>
      <c r="N228" s="611"/>
      <c r="O228" s="612"/>
      <c r="P228" s="613"/>
      <c r="Q228" s="614"/>
      <c r="R228" s="741"/>
      <c r="S228" s="636"/>
      <c r="T228" s="743"/>
      <c r="U228" s="724"/>
      <c r="Y228" s="724"/>
      <c r="Z228" s="724"/>
      <c r="AA228" s="754"/>
      <c r="AB228" s="754"/>
      <c r="AC228" s="754"/>
      <c r="AD228" s="754"/>
      <c r="AE228" s="754"/>
      <c r="AF228" s="754"/>
      <c r="AG228" s="754"/>
      <c r="AH228" s="754"/>
      <c r="AI228" s="754"/>
      <c r="AJ228" s="754"/>
      <c r="AK228" s="754"/>
      <c r="AL228" s="754"/>
      <c r="AM228" s="754"/>
      <c r="AN228" s="754"/>
      <c r="AO228" s="754"/>
      <c r="AP228" s="754"/>
      <c r="AQ228" s="754"/>
      <c r="AR228" s="754"/>
      <c r="AS228" s="754"/>
      <c r="AT228" s="754"/>
      <c r="AU228" s="754"/>
      <c r="AV228" s="616"/>
      <c r="AW228" s="616"/>
      <c r="AX228" s="616"/>
      <c r="AY228" s="616"/>
      <c r="AZ228" s="616"/>
    </row>
    <row r="229" spans="2:52" x14ac:dyDescent="0.25">
      <c r="B229" s="606"/>
      <c r="C229" s="607"/>
      <c r="D229" s="608"/>
      <c r="E229" s="698"/>
      <c r="F229" s="698"/>
      <c r="G229" s="609"/>
      <c r="H229" s="610"/>
      <c r="I229" s="611"/>
      <c r="J229" s="698"/>
      <c r="K229" s="698"/>
      <c r="L229" s="606"/>
      <c r="M229" s="607"/>
      <c r="N229" s="611"/>
      <c r="O229" s="612"/>
      <c r="P229" s="613"/>
      <c r="Q229" s="614"/>
      <c r="R229" s="741"/>
      <c r="S229" s="636"/>
      <c r="T229" s="743"/>
      <c r="U229" s="724"/>
      <c r="Y229" s="724"/>
      <c r="Z229" s="724"/>
      <c r="AA229" s="754"/>
      <c r="AB229" s="754"/>
      <c r="AC229" s="754"/>
      <c r="AD229" s="754"/>
      <c r="AE229" s="754"/>
      <c r="AF229" s="754"/>
      <c r="AG229" s="754"/>
      <c r="AH229" s="754"/>
      <c r="AI229" s="754"/>
      <c r="AJ229" s="754"/>
      <c r="AK229" s="754"/>
      <c r="AL229" s="754"/>
      <c r="AM229" s="754"/>
      <c r="AN229" s="754"/>
      <c r="AO229" s="754"/>
      <c r="AP229" s="754"/>
      <c r="AQ229" s="754"/>
      <c r="AR229" s="754"/>
      <c r="AS229" s="754"/>
      <c r="AT229" s="754"/>
      <c r="AU229" s="754"/>
      <c r="AV229" s="616"/>
      <c r="AW229" s="616"/>
      <c r="AX229" s="616"/>
      <c r="AY229" s="616"/>
      <c r="AZ229" s="616"/>
    </row>
    <row r="230" spans="2:52" x14ac:dyDescent="0.25">
      <c r="B230" s="606"/>
      <c r="C230" s="607"/>
      <c r="D230" s="608"/>
      <c r="E230" s="698"/>
      <c r="F230" s="698"/>
      <c r="G230" s="609"/>
      <c r="H230" s="610"/>
      <c r="I230" s="611"/>
      <c r="J230" s="698"/>
      <c r="K230" s="698"/>
      <c r="L230" s="606"/>
      <c r="M230" s="607"/>
      <c r="N230" s="611"/>
      <c r="O230" s="612"/>
      <c r="P230" s="613"/>
      <c r="Q230" s="614"/>
      <c r="R230" s="741"/>
      <c r="S230" s="636"/>
      <c r="T230" s="743"/>
      <c r="U230" s="724"/>
      <c r="Y230" s="724"/>
      <c r="Z230" s="724"/>
      <c r="AA230" s="754"/>
      <c r="AB230" s="754"/>
      <c r="AC230" s="754"/>
      <c r="AD230" s="754"/>
      <c r="AE230" s="754"/>
      <c r="AF230" s="754"/>
      <c r="AG230" s="754"/>
      <c r="AH230" s="754"/>
      <c r="AI230" s="754"/>
      <c r="AJ230" s="754"/>
      <c r="AK230" s="754"/>
      <c r="AL230" s="754"/>
      <c r="AM230" s="754"/>
      <c r="AN230" s="754"/>
      <c r="AO230" s="754"/>
      <c r="AP230" s="754"/>
      <c r="AQ230" s="754"/>
      <c r="AR230" s="754"/>
      <c r="AS230" s="754"/>
      <c r="AT230" s="754"/>
      <c r="AU230" s="754"/>
      <c r="AV230" s="616"/>
      <c r="AW230" s="616"/>
      <c r="AX230" s="616"/>
      <c r="AY230" s="616"/>
      <c r="AZ230" s="616"/>
    </row>
    <row r="231" spans="2:52" x14ac:dyDescent="0.25">
      <c r="B231" s="606"/>
      <c r="C231" s="607"/>
      <c r="D231" s="608"/>
      <c r="E231" s="698"/>
      <c r="F231" s="698"/>
      <c r="G231" s="609"/>
      <c r="H231" s="610"/>
      <c r="I231" s="611"/>
      <c r="J231" s="698"/>
      <c r="K231" s="698"/>
      <c r="L231" s="606"/>
      <c r="M231" s="607"/>
      <c r="N231" s="611"/>
      <c r="O231" s="612"/>
      <c r="P231" s="613"/>
      <c r="Q231" s="614"/>
      <c r="R231" s="741"/>
      <c r="S231" s="636"/>
      <c r="T231" s="743"/>
      <c r="U231" s="724"/>
      <c r="Y231" s="724"/>
      <c r="Z231" s="724"/>
      <c r="AA231" s="754"/>
      <c r="AB231" s="754"/>
      <c r="AC231" s="754"/>
      <c r="AD231" s="754"/>
      <c r="AE231" s="754"/>
      <c r="AF231" s="754"/>
      <c r="AG231" s="754"/>
      <c r="AH231" s="754"/>
      <c r="AI231" s="754"/>
      <c r="AJ231" s="754"/>
      <c r="AK231" s="754"/>
      <c r="AL231" s="754"/>
      <c r="AM231" s="754"/>
      <c r="AN231" s="754"/>
      <c r="AO231" s="754"/>
      <c r="AP231" s="754"/>
      <c r="AQ231" s="754"/>
      <c r="AR231" s="754"/>
      <c r="AS231" s="754"/>
      <c r="AT231" s="754"/>
      <c r="AU231" s="754"/>
      <c r="AV231" s="616"/>
      <c r="AW231" s="616"/>
      <c r="AX231" s="616"/>
      <c r="AY231" s="616"/>
      <c r="AZ231" s="616"/>
    </row>
    <row r="232" spans="2:52" x14ac:dyDescent="0.25">
      <c r="B232" s="606"/>
      <c r="C232" s="607"/>
      <c r="D232" s="608"/>
      <c r="E232" s="698"/>
      <c r="F232" s="698"/>
      <c r="G232" s="609"/>
      <c r="H232" s="610"/>
      <c r="I232" s="611"/>
      <c r="J232" s="698"/>
      <c r="K232" s="698"/>
      <c r="L232" s="606"/>
      <c r="M232" s="607"/>
      <c r="N232" s="611"/>
      <c r="O232" s="612"/>
      <c r="P232" s="613"/>
      <c r="Q232" s="614"/>
      <c r="R232" s="741"/>
      <c r="S232" s="636"/>
      <c r="T232" s="743"/>
      <c r="U232" s="724"/>
      <c r="Y232" s="724"/>
      <c r="Z232" s="724"/>
      <c r="AA232" s="754"/>
      <c r="AB232" s="754"/>
      <c r="AC232" s="754"/>
      <c r="AD232" s="754"/>
      <c r="AE232" s="754"/>
      <c r="AF232" s="754"/>
      <c r="AG232" s="754"/>
      <c r="AH232" s="754"/>
      <c r="AI232" s="754"/>
      <c r="AJ232" s="754"/>
      <c r="AK232" s="754"/>
      <c r="AL232" s="754"/>
      <c r="AM232" s="754"/>
      <c r="AN232" s="754"/>
      <c r="AO232" s="754"/>
      <c r="AP232" s="754"/>
      <c r="AQ232" s="754"/>
      <c r="AR232" s="754"/>
      <c r="AS232" s="754"/>
      <c r="AT232" s="754"/>
      <c r="AU232" s="754"/>
      <c r="AV232" s="616"/>
      <c r="AW232" s="616"/>
      <c r="AX232" s="616"/>
      <c r="AY232" s="616"/>
      <c r="AZ232" s="616"/>
    </row>
    <row r="233" spans="2:52" x14ac:dyDescent="0.25">
      <c r="B233" s="606"/>
      <c r="C233" s="607"/>
      <c r="D233" s="608"/>
      <c r="E233" s="698"/>
      <c r="F233" s="698"/>
      <c r="G233" s="609"/>
      <c r="H233" s="610"/>
      <c r="I233" s="611"/>
      <c r="J233" s="698"/>
      <c r="K233" s="698"/>
      <c r="L233" s="606"/>
      <c r="M233" s="607"/>
      <c r="N233" s="611"/>
      <c r="O233" s="612"/>
      <c r="P233" s="613"/>
      <c r="Q233" s="614"/>
      <c r="R233" s="741"/>
      <c r="S233" s="636"/>
      <c r="T233" s="743"/>
      <c r="U233" s="724"/>
      <c r="Y233" s="724"/>
      <c r="Z233" s="724"/>
      <c r="AA233" s="754"/>
      <c r="AB233" s="754"/>
      <c r="AC233" s="754"/>
      <c r="AD233" s="754"/>
      <c r="AE233" s="754"/>
      <c r="AF233" s="754"/>
      <c r="AG233" s="754"/>
      <c r="AH233" s="754"/>
      <c r="AI233" s="754"/>
      <c r="AJ233" s="754"/>
      <c r="AK233" s="754"/>
      <c r="AL233" s="754"/>
      <c r="AM233" s="754"/>
      <c r="AN233" s="754"/>
      <c r="AO233" s="754"/>
      <c r="AP233" s="754"/>
      <c r="AQ233" s="754"/>
      <c r="AR233" s="754"/>
      <c r="AS233" s="754"/>
      <c r="AT233" s="754"/>
      <c r="AU233" s="754"/>
      <c r="AV233" s="616"/>
      <c r="AW233" s="616"/>
      <c r="AX233" s="616"/>
      <c r="AY233" s="616"/>
      <c r="AZ233" s="616"/>
    </row>
    <row r="234" spans="2:52" x14ac:dyDescent="0.25">
      <c r="B234" s="606"/>
      <c r="C234" s="607"/>
      <c r="D234" s="608"/>
      <c r="E234" s="698"/>
      <c r="F234" s="698"/>
      <c r="G234" s="609"/>
      <c r="H234" s="610"/>
      <c r="I234" s="611"/>
      <c r="J234" s="698"/>
      <c r="K234" s="698"/>
      <c r="L234" s="606"/>
      <c r="M234" s="607"/>
      <c r="N234" s="611"/>
      <c r="O234" s="612"/>
      <c r="P234" s="613"/>
      <c r="Q234" s="614"/>
      <c r="R234" s="741"/>
      <c r="S234" s="636"/>
      <c r="T234" s="743"/>
      <c r="U234" s="724"/>
      <c r="Y234" s="724"/>
      <c r="Z234" s="724"/>
      <c r="AA234" s="754"/>
      <c r="AB234" s="754"/>
      <c r="AC234" s="754"/>
      <c r="AD234" s="754"/>
      <c r="AE234" s="754"/>
      <c r="AF234" s="754"/>
      <c r="AG234" s="754"/>
      <c r="AH234" s="754"/>
      <c r="AI234" s="754"/>
      <c r="AJ234" s="754"/>
      <c r="AK234" s="754"/>
      <c r="AL234" s="754"/>
      <c r="AM234" s="754"/>
      <c r="AN234" s="754"/>
      <c r="AO234" s="754"/>
      <c r="AP234" s="754"/>
      <c r="AQ234" s="754"/>
      <c r="AR234" s="754"/>
      <c r="AS234" s="754"/>
      <c r="AT234" s="754"/>
      <c r="AU234" s="754"/>
      <c r="AV234" s="616"/>
      <c r="AW234" s="616"/>
      <c r="AX234" s="616"/>
      <c r="AY234" s="616"/>
      <c r="AZ234" s="616"/>
    </row>
    <row r="235" spans="2:52" x14ac:dyDescent="0.25">
      <c r="B235" s="606"/>
      <c r="C235" s="607"/>
      <c r="D235" s="608"/>
      <c r="E235" s="698"/>
      <c r="F235" s="698"/>
      <c r="G235" s="609"/>
      <c r="H235" s="610"/>
      <c r="I235" s="611"/>
      <c r="J235" s="698"/>
      <c r="K235" s="698"/>
      <c r="L235" s="606"/>
      <c r="M235" s="607"/>
      <c r="N235" s="611"/>
      <c r="O235" s="612"/>
      <c r="P235" s="613"/>
      <c r="Q235" s="614"/>
      <c r="R235" s="741"/>
      <c r="S235" s="636"/>
      <c r="T235" s="743"/>
      <c r="U235" s="724"/>
      <c r="Y235" s="724"/>
      <c r="Z235" s="724"/>
      <c r="AA235" s="754"/>
      <c r="AB235" s="754"/>
      <c r="AC235" s="754"/>
      <c r="AD235" s="754"/>
      <c r="AE235" s="754"/>
      <c r="AF235" s="754"/>
      <c r="AG235" s="754"/>
      <c r="AH235" s="754"/>
      <c r="AI235" s="754"/>
      <c r="AJ235" s="754"/>
      <c r="AK235" s="754"/>
      <c r="AL235" s="754"/>
      <c r="AM235" s="754"/>
      <c r="AN235" s="754"/>
      <c r="AO235" s="754"/>
      <c r="AP235" s="754"/>
      <c r="AQ235" s="754"/>
      <c r="AR235" s="754"/>
      <c r="AS235" s="754"/>
      <c r="AT235" s="754"/>
      <c r="AU235" s="754"/>
      <c r="AV235" s="616"/>
      <c r="AW235" s="616"/>
      <c r="AX235" s="616"/>
      <c r="AY235" s="616"/>
      <c r="AZ235" s="616"/>
    </row>
    <row r="236" spans="2:52" x14ac:dyDescent="0.25">
      <c r="B236" s="606"/>
      <c r="C236" s="607"/>
      <c r="D236" s="608"/>
      <c r="E236" s="698"/>
      <c r="F236" s="698"/>
      <c r="G236" s="609"/>
      <c r="H236" s="610"/>
      <c r="I236" s="611"/>
      <c r="J236" s="698"/>
      <c r="K236" s="698"/>
      <c r="L236" s="606"/>
      <c r="M236" s="607"/>
      <c r="N236" s="611"/>
      <c r="O236" s="612"/>
      <c r="P236" s="613"/>
      <c r="Q236" s="614"/>
      <c r="R236" s="741"/>
      <c r="S236" s="636"/>
      <c r="T236" s="743"/>
      <c r="U236" s="724"/>
      <c r="Y236" s="724"/>
      <c r="Z236" s="724"/>
      <c r="AA236" s="754"/>
      <c r="AB236" s="754"/>
      <c r="AC236" s="754"/>
      <c r="AD236" s="754"/>
      <c r="AE236" s="754"/>
      <c r="AF236" s="754"/>
      <c r="AG236" s="754"/>
      <c r="AH236" s="754"/>
      <c r="AI236" s="754"/>
      <c r="AJ236" s="754"/>
      <c r="AK236" s="754"/>
      <c r="AL236" s="754"/>
      <c r="AM236" s="754"/>
      <c r="AN236" s="754"/>
      <c r="AO236" s="754"/>
      <c r="AP236" s="754"/>
      <c r="AQ236" s="754"/>
      <c r="AR236" s="754"/>
      <c r="AS236" s="754"/>
      <c r="AT236" s="754"/>
      <c r="AU236" s="754"/>
      <c r="AV236" s="616"/>
      <c r="AW236" s="616"/>
      <c r="AX236" s="616"/>
      <c r="AY236" s="616"/>
      <c r="AZ236" s="616"/>
    </row>
    <row r="237" spans="2:52" x14ac:dyDescent="0.25">
      <c r="B237" s="606"/>
      <c r="C237" s="607"/>
      <c r="D237" s="608"/>
      <c r="E237" s="698"/>
      <c r="F237" s="698"/>
      <c r="G237" s="609"/>
      <c r="H237" s="610"/>
      <c r="I237" s="611"/>
      <c r="J237" s="698"/>
      <c r="K237" s="698"/>
      <c r="L237" s="606"/>
      <c r="M237" s="607"/>
      <c r="N237" s="611"/>
      <c r="O237" s="612"/>
      <c r="P237" s="613"/>
      <c r="Q237" s="614"/>
      <c r="R237" s="741"/>
      <c r="S237" s="636"/>
      <c r="T237" s="743"/>
      <c r="U237" s="724"/>
      <c r="Y237" s="724"/>
      <c r="Z237" s="724"/>
      <c r="AA237" s="754"/>
      <c r="AB237" s="754"/>
      <c r="AC237" s="754"/>
      <c r="AD237" s="754"/>
      <c r="AE237" s="754"/>
      <c r="AF237" s="754"/>
      <c r="AG237" s="754"/>
      <c r="AH237" s="754"/>
      <c r="AI237" s="754"/>
      <c r="AJ237" s="754"/>
      <c r="AK237" s="754"/>
      <c r="AL237" s="754"/>
      <c r="AM237" s="754"/>
      <c r="AN237" s="754"/>
      <c r="AO237" s="754"/>
      <c r="AP237" s="754"/>
      <c r="AQ237" s="754"/>
      <c r="AR237" s="754"/>
      <c r="AS237" s="754"/>
      <c r="AT237" s="754"/>
      <c r="AU237" s="754"/>
      <c r="AV237" s="616"/>
      <c r="AW237" s="616"/>
      <c r="AX237" s="616"/>
      <c r="AY237" s="616"/>
      <c r="AZ237" s="616"/>
    </row>
    <row r="238" spans="2:52" x14ac:dyDescent="0.25">
      <c r="B238" s="606"/>
      <c r="C238" s="607"/>
      <c r="D238" s="608"/>
      <c r="E238" s="698"/>
      <c r="F238" s="698"/>
      <c r="G238" s="609"/>
      <c r="H238" s="610"/>
      <c r="I238" s="611"/>
      <c r="J238" s="698"/>
      <c r="K238" s="698"/>
      <c r="L238" s="606"/>
      <c r="M238" s="607"/>
      <c r="N238" s="611"/>
      <c r="O238" s="612"/>
      <c r="P238" s="613"/>
      <c r="Q238" s="614"/>
      <c r="R238" s="741"/>
      <c r="S238" s="636"/>
      <c r="T238" s="743"/>
      <c r="U238" s="724"/>
      <c r="Y238" s="724"/>
      <c r="Z238" s="724"/>
      <c r="AA238" s="754"/>
      <c r="AB238" s="754"/>
      <c r="AC238" s="754"/>
      <c r="AD238" s="754"/>
      <c r="AE238" s="754"/>
      <c r="AF238" s="754"/>
      <c r="AG238" s="754"/>
      <c r="AH238" s="754"/>
      <c r="AI238" s="754"/>
      <c r="AJ238" s="754"/>
      <c r="AK238" s="754"/>
      <c r="AL238" s="754"/>
      <c r="AM238" s="754"/>
      <c r="AN238" s="754"/>
      <c r="AO238" s="754"/>
      <c r="AP238" s="754"/>
      <c r="AQ238" s="754"/>
      <c r="AR238" s="754"/>
      <c r="AS238" s="754"/>
      <c r="AT238" s="754"/>
      <c r="AU238" s="754"/>
      <c r="AV238" s="616"/>
      <c r="AW238" s="616"/>
      <c r="AX238" s="616"/>
      <c r="AY238" s="616"/>
      <c r="AZ238" s="616"/>
    </row>
    <row r="239" spans="2:52" x14ac:dyDescent="0.25">
      <c r="B239" s="606"/>
      <c r="C239" s="607"/>
      <c r="D239" s="608"/>
      <c r="E239" s="698"/>
      <c r="F239" s="698"/>
      <c r="G239" s="609"/>
      <c r="H239" s="610"/>
      <c r="I239" s="611"/>
      <c r="J239" s="698"/>
      <c r="K239" s="698"/>
      <c r="L239" s="606"/>
      <c r="M239" s="607"/>
      <c r="N239" s="611"/>
      <c r="O239" s="612"/>
      <c r="P239" s="613"/>
      <c r="Q239" s="614"/>
      <c r="R239" s="741"/>
      <c r="S239" s="636"/>
      <c r="T239" s="743"/>
      <c r="U239" s="724"/>
      <c r="Y239" s="724"/>
      <c r="Z239" s="724"/>
      <c r="AA239" s="754"/>
      <c r="AB239" s="754"/>
      <c r="AC239" s="754"/>
      <c r="AD239" s="754"/>
      <c r="AE239" s="754"/>
      <c r="AF239" s="754"/>
      <c r="AG239" s="754"/>
      <c r="AH239" s="754"/>
      <c r="AI239" s="754"/>
      <c r="AJ239" s="754"/>
      <c r="AK239" s="754"/>
      <c r="AL239" s="754"/>
      <c r="AM239" s="754"/>
      <c r="AN239" s="754"/>
      <c r="AO239" s="754"/>
      <c r="AP239" s="754"/>
      <c r="AQ239" s="754"/>
      <c r="AR239" s="754"/>
      <c r="AS239" s="754"/>
      <c r="AT239" s="754"/>
      <c r="AU239" s="754"/>
      <c r="AV239" s="616"/>
      <c r="AW239" s="616"/>
      <c r="AX239" s="616"/>
      <c r="AY239" s="616"/>
      <c r="AZ239" s="616"/>
    </row>
    <row r="240" spans="2:52" x14ac:dyDescent="0.25">
      <c r="B240" s="606"/>
      <c r="C240" s="607"/>
      <c r="D240" s="608"/>
      <c r="E240" s="698"/>
      <c r="F240" s="698"/>
      <c r="G240" s="609"/>
      <c r="H240" s="610"/>
      <c r="I240" s="611"/>
      <c r="J240" s="698"/>
      <c r="K240" s="698"/>
      <c r="L240" s="606"/>
      <c r="M240" s="607"/>
      <c r="N240" s="611"/>
      <c r="O240" s="612"/>
      <c r="P240" s="613"/>
      <c r="Q240" s="614"/>
      <c r="R240" s="741"/>
      <c r="S240" s="636"/>
      <c r="T240" s="743"/>
      <c r="U240" s="724"/>
      <c r="Y240" s="724"/>
      <c r="Z240" s="724"/>
      <c r="AA240" s="754"/>
      <c r="AB240" s="754"/>
      <c r="AC240" s="754"/>
      <c r="AD240" s="754"/>
      <c r="AE240" s="754"/>
      <c r="AF240" s="754"/>
      <c r="AG240" s="754"/>
      <c r="AH240" s="754"/>
      <c r="AI240" s="754"/>
      <c r="AJ240" s="754"/>
      <c r="AK240" s="754"/>
      <c r="AL240" s="754"/>
      <c r="AM240" s="754"/>
      <c r="AN240" s="754"/>
      <c r="AO240" s="754"/>
      <c r="AP240" s="754"/>
      <c r="AQ240" s="754"/>
      <c r="AR240" s="754"/>
      <c r="AS240" s="754"/>
      <c r="AT240" s="754"/>
      <c r="AU240" s="754"/>
      <c r="AV240" s="616"/>
      <c r="AW240" s="616"/>
      <c r="AX240" s="616"/>
      <c r="AY240" s="616"/>
      <c r="AZ240" s="616"/>
    </row>
    <row r="241" spans="2:52" x14ac:dyDescent="0.25">
      <c r="B241" s="606"/>
      <c r="C241" s="607"/>
      <c r="D241" s="608"/>
      <c r="E241" s="698"/>
      <c r="F241" s="698"/>
      <c r="G241" s="609"/>
      <c r="H241" s="610"/>
      <c r="I241" s="611"/>
      <c r="J241" s="698"/>
      <c r="K241" s="698"/>
      <c r="L241" s="606"/>
      <c r="M241" s="607"/>
      <c r="N241" s="611"/>
      <c r="O241" s="612"/>
      <c r="P241" s="613"/>
      <c r="Q241" s="614"/>
      <c r="R241" s="741"/>
      <c r="S241" s="636"/>
      <c r="T241" s="743"/>
      <c r="U241" s="724"/>
      <c r="Y241" s="724"/>
      <c r="Z241" s="724"/>
      <c r="AA241" s="754"/>
      <c r="AB241" s="754"/>
      <c r="AC241" s="754"/>
      <c r="AD241" s="754"/>
      <c r="AE241" s="754"/>
      <c r="AF241" s="754"/>
      <c r="AG241" s="754"/>
      <c r="AH241" s="754"/>
      <c r="AI241" s="754"/>
      <c r="AJ241" s="754"/>
      <c r="AK241" s="754"/>
      <c r="AL241" s="754"/>
      <c r="AM241" s="754"/>
      <c r="AN241" s="754"/>
      <c r="AO241" s="754"/>
      <c r="AP241" s="754"/>
      <c r="AQ241" s="754"/>
      <c r="AR241" s="754"/>
      <c r="AS241" s="754"/>
      <c r="AT241" s="754"/>
      <c r="AU241" s="754"/>
      <c r="AV241" s="616"/>
      <c r="AW241" s="616"/>
      <c r="AX241" s="616"/>
      <c r="AY241" s="616"/>
      <c r="AZ241" s="616"/>
    </row>
    <row r="242" spans="2:52" x14ac:dyDescent="0.25">
      <c r="B242" s="606"/>
      <c r="C242" s="607"/>
      <c r="D242" s="608"/>
      <c r="E242" s="698"/>
      <c r="F242" s="698"/>
      <c r="G242" s="609"/>
      <c r="H242" s="610"/>
      <c r="I242" s="611"/>
      <c r="J242" s="698"/>
      <c r="K242" s="698"/>
      <c r="L242" s="606"/>
      <c r="M242" s="607"/>
      <c r="N242" s="611"/>
      <c r="O242" s="612"/>
      <c r="P242" s="613"/>
      <c r="Q242" s="614"/>
      <c r="R242" s="741"/>
      <c r="S242" s="636"/>
      <c r="T242" s="743"/>
      <c r="U242" s="724"/>
      <c r="Y242" s="724"/>
      <c r="Z242" s="724"/>
      <c r="AA242" s="754"/>
      <c r="AB242" s="754"/>
      <c r="AC242" s="754"/>
      <c r="AD242" s="754"/>
      <c r="AE242" s="754"/>
      <c r="AF242" s="754"/>
      <c r="AG242" s="754"/>
      <c r="AH242" s="754"/>
      <c r="AI242" s="754"/>
      <c r="AJ242" s="754"/>
      <c r="AK242" s="754"/>
      <c r="AL242" s="754"/>
      <c r="AM242" s="754"/>
      <c r="AN242" s="754"/>
      <c r="AO242" s="754"/>
      <c r="AP242" s="754"/>
      <c r="AQ242" s="754"/>
      <c r="AR242" s="754"/>
      <c r="AS242" s="754"/>
      <c r="AT242" s="754"/>
      <c r="AU242" s="754"/>
      <c r="AV242" s="616"/>
      <c r="AW242" s="616"/>
      <c r="AX242" s="616"/>
      <c r="AY242" s="616"/>
      <c r="AZ242" s="616"/>
    </row>
    <row r="243" spans="2:52" x14ac:dyDescent="0.25">
      <c r="B243" s="606"/>
      <c r="C243" s="607"/>
      <c r="D243" s="608"/>
      <c r="E243" s="698"/>
      <c r="F243" s="698"/>
      <c r="G243" s="609"/>
      <c r="H243" s="610"/>
      <c r="I243" s="611"/>
      <c r="J243" s="698"/>
      <c r="K243" s="698"/>
      <c r="L243" s="606"/>
      <c r="M243" s="607"/>
      <c r="N243" s="611"/>
      <c r="O243" s="612"/>
      <c r="P243" s="613"/>
      <c r="Q243" s="614"/>
      <c r="R243" s="741"/>
      <c r="S243" s="636"/>
      <c r="T243" s="743"/>
      <c r="U243" s="724"/>
      <c r="Y243" s="724"/>
      <c r="Z243" s="724"/>
      <c r="AA243" s="754"/>
      <c r="AB243" s="754"/>
      <c r="AC243" s="754"/>
      <c r="AD243" s="754"/>
      <c r="AE243" s="754"/>
      <c r="AF243" s="754"/>
      <c r="AG243" s="754"/>
      <c r="AH243" s="754"/>
      <c r="AI243" s="754"/>
      <c r="AJ243" s="754"/>
      <c r="AK243" s="754"/>
      <c r="AL243" s="754"/>
      <c r="AM243" s="754"/>
      <c r="AN243" s="754"/>
      <c r="AO243" s="754"/>
      <c r="AP243" s="754"/>
      <c r="AQ243" s="754"/>
      <c r="AR243" s="754"/>
      <c r="AS243" s="754"/>
      <c r="AT243" s="754"/>
      <c r="AU243" s="754"/>
      <c r="AV243" s="616"/>
      <c r="AW243" s="616"/>
      <c r="AX243" s="616"/>
      <c r="AY243" s="616"/>
      <c r="AZ243" s="616"/>
    </row>
    <row r="244" spans="2:52" x14ac:dyDescent="0.25">
      <c r="B244" s="606"/>
      <c r="C244" s="607"/>
      <c r="D244" s="608"/>
      <c r="E244" s="698"/>
      <c r="F244" s="698"/>
      <c r="G244" s="609"/>
      <c r="H244" s="610"/>
      <c r="I244" s="611"/>
      <c r="J244" s="698"/>
      <c r="K244" s="698"/>
      <c r="L244" s="606"/>
      <c r="M244" s="607"/>
      <c r="N244" s="611"/>
      <c r="O244" s="612"/>
      <c r="P244" s="613"/>
      <c r="Q244" s="614"/>
      <c r="R244" s="741"/>
      <c r="S244" s="636"/>
      <c r="T244" s="743"/>
      <c r="U244" s="724"/>
      <c r="Y244" s="724"/>
      <c r="Z244" s="724"/>
      <c r="AA244" s="754"/>
      <c r="AB244" s="754"/>
      <c r="AC244" s="754"/>
      <c r="AD244" s="754"/>
      <c r="AE244" s="754"/>
      <c r="AF244" s="754"/>
      <c r="AG244" s="754"/>
      <c r="AH244" s="754"/>
      <c r="AI244" s="754"/>
      <c r="AJ244" s="754"/>
      <c r="AK244" s="754"/>
      <c r="AL244" s="754"/>
      <c r="AM244" s="754"/>
      <c r="AN244" s="754"/>
      <c r="AO244" s="754"/>
      <c r="AP244" s="754"/>
      <c r="AQ244" s="754"/>
      <c r="AR244" s="754"/>
      <c r="AS244" s="754"/>
      <c r="AT244" s="754"/>
      <c r="AU244" s="754"/>
      <c r="AV244" s="616"/>
      <c r="AW244" s="616"/>
      <c r="AX244" s="616"/>
      <c r="AY244" s="616"/>
      <c r="AZ244" s="616"/>
    </row>
    <row r="245" spans="2:52" x14ac:dyDescent="0.25">
      <c r="B245" s="606"/>
      <c r="C245" s="607"/>
      <c r="D245" s="608"/>
      <c r="E245" s="698"/>
      <c r="F245" s="698"/>
      <c r="G245" s="609"/>
      <c r="H245" s="610"/>
      <c r="I245" s="611"/>
      <c r="J245" s="698"/>
      <c r="K245" s="698"/>
      <c r="L245" s="606"/>
      <c r="M245" s="607"/>
      <c r="N245" s="611"/>
      <c r="O245" s="612"/>
      <c r="P245" s="613"/>
      <c r="Q245" s="614"/>
      <c r="R245" s="741"/>
      <c r="S245" s="636"/>
      <c r="T245" s="743"/>
      <c r="U245" s="724"/>
      <c r="Y245" s="724"/>
      <c r="Z245" s="724"/>
      <c r="AA245" s="754"/>
      <c r="AB245" s="754"/>
      <c r="AC245" s="754"/>
      <c r="AD245" s="754"/>
      <c r="AE245" s="754"/>
      <c r="AF245" s="754"/>
      <c r="AG245" s="754"/>
      <c r="AH245" s="754"/>
      <c r="AI245" s="754"/>
      <c r="AJ245" s="754"/>
      <c r="AK245" s="754"/>
      <c r="AL245" s="754"/>
      <c r="AM245" s="754"/>
      <c r="AN245" s="754"/>
      <c r="AO245" s="754"/>
      <c r="AP245" s="754"/>
      <c r="AQ245" s="754"/>
      <c r="AR245" s="754"/>
      <c r="AS245" s="754"/>
      <c r="AT245" s="754"/>
      <c r="AU245" s="754"/>
      <c r="AV245" s="616"/>
      <c r="AW245" s="616"/>
      <c r="AX245" s="616"/>
      <c r="AY245" s="616"/>
      <c r="AZ245" s="616"/>
    </row>
    <row r="246" spans="2:52" x14ac:dyDescent="0.25">
      <c r="B246" s="606"/>
      <c r="C246" s="607"/>
      <c r="D246" s="608"/>
      <c r="E246" s="698"/>
      <c r="F246" s="698"/>
      <c r="G246" s="609"/>
      <c r="H246" s="610"/>
      <c r="I246" s="611"/>
      <c r="J246" s="698"/>
      <c r="K246" s="698"/>
      <c r="L246" s="606"/>
      <c r="M246" s="607"/>
      <c r="N246" s="611"/>
      <c r="O246" s="612"/>
      <c r="P246" s="613"/>
      <c r="Q246" s="614"/>
      <c r="R246" s="741"/>
      <c r="S246" s="636"/>
      <c r="T246" s="743"/>
      <c r="U246" s="724"/>
      <c r="Y246" s="724"/>
      <c r="Z246" s="724"/>
      <c r="AA246" s="754"/>
      <c r="AB246" s="754"/>
      <c r="AC246" s="754"/>
      <c r="AD246" s="754"/>
      <c r="AE246" s="754"/>
      <c r="AF246" s="754"/>
      <c r="AG246" s="754"/>
      <c r="AH246" s="754"/>
      <c r="AI246" s="754"/>
      <c r="AJ246" s="754"/>
      <c r="AK246" s="754"/>
      <c r="AL246" s="754"/>
      <c r="AM246" s="754"/>
      <c r="AN246" s="754"/>
      <c r="AO246" s="754"/>
      <c r="AP246" s="754"/>
      <c r="AQ246" s="754"/>
      <c r="AR246" s="754"/>
      <c r="AS246" s="754"/>
      <c r="AT246" s="754"/>
      <c r="AU246" s="754"/>
      <c r="AV246" s="616"/>
      <c r="AW246" s="616"/>
      <c r="AX246" s="616"/>
      <c r="AY246" s="616"/>
      <c r="AZ246" s="616"/>
    </row>
    <row r="247" spans="2:52" x14ac:dyDescent="0.25">
      <c r="B247" s="606"/>
      <c r="C247" s="607"/>
      <c r="D247" s="608"/>
      <c r="E247" s="698"/>
      <c r="F247" s="698"/>
      <c r="G247" s="609"/>
      <c r="H247" s="610"/>
      <c r="I247" s="611"/>
      <c r="J247" s="698"/>
      <c r="K247" s="698"/>
      <c r="L247" s="606"/>
      <c r="M247" s="607"/>
      <c r="N247" s="611"/>
      <c r="O247" s="612"/>
      <c r="P247" s="613"/>
      <c r="Q247" s="614"/>
      <c r="R247" s="741"/>
      <c r="S247" s="636"/>
      <c r="T247" s="743"/>
      <c r="U247" s="724"/>
      <c r="Y247" s="724"/>
      <c r="Z247" s="724"/>
      <c r="AA247" s="754"/>
      <c r="AB247" s="754"/>
      <c r="AC247" s="754"/>
      <c r="AD247" s="754"/>
      <c r="AE247" s="754"/>
      <c r="AF247" s="754"/>
      <c r="AG247" s="754"/>
      <c r="AH247" s="754"/>
      <c r="AI247" s="754"/>
      <c r="AJ247" s="754"/>
      <c r="AK247" s="754"/>
      <c r="AL247" s="754"/>
      <c r="AM247" s="754"/>
      <c r="AN247" s="754"/>
      <c r="AO247" s="754"/>
      <c r="AP247" s="754"/>
      <c r="AQ247" s="754"/>
      <c r="AR247" s="754"/>
      <c r="AS247" s="754"/>
      <c r="AT247" s="754"/>
      <c r="AU247" s="754"/>
      <c r="AV247" s="616"/>
      <c r="AW247" s="616"/>
      <c r="AX247" s="616"/>
      <c r="AY247" s="616"/>
      <c r="AZ247" s="616"/>
    </row>
    <row r="248" spans="2:52" x14ac:dyDescent="0.25">
      <c r="B248" s="606"/>
      <c r="C248" s="607"/>
      <c r="D248" s="608"/>
      <c r="E248" s="698"/>
      <c r="F248" s="698"/>
      <c r="G248" s="609"/>
      <c r="H248" s="610"/>
      <c r="I248" s="611"/>
      <c r="J248" s="698"/>
      <c r="K248" s="698"/>
      <c r="L248" s="606"/>
      <c r="M248" s="607"/>
      <c r="N248" s="611"/>
      <c r="O248" s="612"/>
      <c r="P248" s="613"/>
      <c r="Q248" s="614"/>
      <c r="R248" s="741"/>
      <c r="S248" s="636"/>
      <c r="T248" s="743"/>
      <c r="U248" s="724"/>
      <c r="Y248" s="724"/>
      <c r="Z248" s="724"/>
      <c r="AA248" s="754"/>
      <c r="AB248" s="754"/>
      <c r="AC248" s="754"/>
      <c r="AD248" s="754"/>
      <c r="AE248" s="754"/>
      <c r="AF248" s="754"/>
      <c r="AG248" s="754"/>
      <c r="AH248" s="754"/>
      <c r="AI248" s="754"/>
      <c r="AJ248" s="754"/>
      <c r="AK248" s="754"/>
      <c r="AL248" s="754"/>
      <c r="AM248" s="754"/>
      <c r="AN248" s="754"/>
      <c r="AO248" s="754"/>
      <c r="AP248" s="754"/>
      <c r="AQ248" s="754"/>
      <c r="AR248" s="754"/>
      <c r="AS248" s="754"/>
      <c r="AT248" s="754"/>
      <c r="AU248" s="754"/>
      <c r="AV248" s="616"/>
      <c r="AW248" s="616"/>
      <c r="AX248" s="616"/>
      <c r="AY248" s="616"/>
      <c r="AZ248" s="616"/>
    </row>
    <row r="249" spans="2:52" x14ac:dyDescent="0.25">
      <c r="B249" s="606"/>
      <c r="C249" s="607"/>
      <c r="D249" s="608"/>
      <c r="E249" s="698"/>
      <c r="F249" s="698"/>
      <c r="G249" s="609"/>
      <c r="H249" s="610"/>
      <c r="I249" s="611"/>
      <c r="J249" s="698"/>
      <c r="K249" s="698"/>
      <c r="L249" s="606"/>
      <c r="M249" s="607"/>
      <c r="N249" s="611"/>
      <c r="O249" s="612"/>
      <c r="P249" s="613"/>
      <c r="Q249" s="614"/>
      <c r="R249" s="741"/>
      <c r="S249" s="636"/>
      <c r="T249" s="743"/>
      <c r="U249" s="724"/>
      <c r="Y249" s="724"/>
      <c r="Z249" s="724"/>
      <c r="AA249" s="754"/>
      <c r="AB249" s="754"/>
      <c r="AC249" s="754"/>
      <c r="AD249" s="754"/>
      <c r="AE249" s="754"/>
      <c r="AF249" s="754"/>
      <c r="AG249" s="754"/>
      <c r="AH249" s="754"/>
      <c r="AI249" s="754"/>
      <c r="AJ249" s="754"/>
      <c r="AK249" s="754"/>
      <c r="AL249" s="754"/>
      <c r="AM249" s="754"/>
      <c r="AN249" s="754"/>
      <c r="AO249" s="754"/>
      <c r="AP249" s="754"/>
      <c r="AQ249" s="754"/>
      <c r="AR249" s="754"/>
      <c r="AS249" s="754"/>
      <c r="AT249" s="754"/>
      <c r="AU249" s="754"/>
      <c r="AV249" s="616"/>
      <c r="AW249" s="616"/>
      <c r="AX249" s="616"/>
      <c r="AY249" s="616"/>
      <c r="AZ249" s="616"/>
    </row>
    <row r="250" spans="2:52" x14ac:dyDescent="0.25">
      <c r="B250" s="606"/>
      <c r="C250" s="607"/>
      <c r="D250" s="608"/>
      <c r="E250" s="698"/>
      <c r="F250" s="698"/>
      <c r="G250" s="609"/>
      <c r="H250" s="610"/>
      <c r="I250" s="611"/>
      <c r="J250" s="698"/>
      <c r="K250" s="698"/>
      <c r="L250" s="606"/>
      <c r="M250" s="607"/>
      <c r="N250" s="611"/>
      <c r="O250" s="612"/>
      <c r="P250" s="613"/>
      <c r="Q250" s="614"/>
      <c r="R250" s="741"/>
      <c r="S250" s="636"/>
      <c r="T250" s="743"/>
      <c r="U250" s="724"/>
      <c r="Y250" s="724"/>
      <c r="Z250" s="724"/>
      <c r="AA250" s="754"/>
      <c r="AB250" s="754"/>
      <c r="AC250" s="754"/>
      <c r="AD250" s="754"/>
      <c r="AE250" s="754"/>
      <c r="AF250" s="754"/>
      <c r="AG250" s="754"/>
      <c r="AH250" s="754"/>
      <c r="AI250" s="754"/>
      <c r="AJ250" s="754"/>
      <c r="AK250" s="754"/>
      <c r="AL250" s="754"/>
      <c r="AM250" s="754"/>
      <c r="AN250" s="754"/>
      <c r="AO250" s="754"/>
      <c r="AP250" s="754"/>
      <c r="AQ250" s="754"/>
      <c r="AR250" s="754"/>
      <c r="AS250" s="754"/>
      <c r="AT250" s="754"/>
      <c r="AU250" s="754"/>
      <c r="AV250" s="616"/>
      <c r="AW250" s="616"/>
      <c r="AX250" s="616"/>
      <c r="AY250" s="616"/>
      <c r="AZ250" s="616"/>
    </row>
    <row r="251" spans="2:52" x14ac:dyDescent="0.25">
      <c r="B251" s="606"/>
      <c r="C251" s="607"/>
      <c r="D251" s="608"/>
      <c r="E251" s="698"/>
      <c r="F251" s="698"/>
      <c r="G251" s="609"/>
      <c r="H251" s="610"/>
      <c r="I251" s="611"/>
      <c r="J251" s="698"/>
      <c r="K251" s="698"/>
      <c r="L251" s="606"/>
      <c r="M251" s="607"/>
      <c r="N251" s="611"/>
      <c r="O251" s="612"/>
      <c r="P251" s="613"/>
      <c r="Q251" s="614"/>
      <c r="R251" s="741"/>
      <c r="S251" s="636"/>
      <c r="T251" s="743"/>
      <c r="U251" s="724"/>
      <c r="Y251" s="724"/>
      <c r="Z251" s="724"/>
      <c r="AA251" s="754"/>
      <c r="AB251" s="754"/>
      <c r="AC251" s="754"/>
      <c r="AD251" s="754"/>
      <c r="AE251" s="754"/>
      <c r="AF251" s="754"/>
      <c r="AG251" s="754"/>
      <c r="AH251" s="754"/>
      <c r="AI251" s="754"/>
      <c r="AJ251" s="754"/>
      <c r="AK251" s="754"/>
      <c r="AL251" s="754"/>
      <c r="AM251" s="754"/>
      <c r="AN251" s="754"/>
      <c r="AO251" s="754"/>
      <c r="AP251" s="754"/>
      <c r="AQ251" s="754"/>
      <c r="AR251" s="754"/>
      <c r="AS251" s="754"/>
      <c r="AT251" s="754"/>
      <c r="AU251" s="754"/>
      <c r="AV251" s="616"/>
      <c r="AW251" s="616"/>
      <c r="AX251" s="616"/>
      <c r="AY251" s="616"/>
      <c r="AZ251" s="616"/>
    </row>
    <row r="252" spans="2:52" x14ac:dyDescent="0.25">
      <c r="B252" s="606"/>
      <c r="C252" s="607"/>
      <c r="D252" s="608"/>
      <c r="E252" s="698"/>
      <c r="F252" s="698"/>
      <c r="G252" s="609"/>
      <c r="H252" s="610"/>
      <c r="I252" s="611"/>
      <c r="J252" s="698"/>
      <c r="K252" s="698"/>
      <c r="L252" s="606"/>
      <c r="M252" s="607"/>
      <c r="N252" s="611"/>
      <c r="O252" s="612"/>
      <c r="P252" s="613"/>
      <c r="Q252" s="614"/>
      <c r="R252" s="741"/>
      <c r="S252" s="636"/>
      <c r="T252" s="743"/>
      <c r="U252" s="724"/>
      <c r="Y252" s="724"/>
      <c r="Z252" s="724"/>
      <c r="AA252" s="754"/>
      <c r="AB252" s="754"/>
      <c r="AC252" s="754"/>
      <c r="AD252" s="754"/>
      <c r="AE252" s="754"/>
      <c r="AF252" s="754"/>
      <c r="AG252" s="754"/>
      <c r="AH252" s="754"/>
      <c r="AI252" s="754"/>
      <c r="AJ252" s="754"/>
      <c r="AK252" s="754"/>
      <c r="AL252" s="754"/>
      <c r="AM252" s="754"/>
      <c r="AN252" s="754"/>
      <c r="AO252" s="754"/>
      <c r="AP252" s="754"/>
      <c r="AQ252" s="754"/>
      <c r="AR252" s="754"/>
      <c r="AS252" s="754"/>
      <c r="AT252" s="754"/>
      <c r="AU252" s="754"/>
      <c r="AV252" s="616"/>
      <c r="AW252" s="616"/>
      <c r="AX252" s="616"/>
      <c r="AY252" s="616"/>
      <c r="AZ252" s="616"/>
    </row>
    <row r="253" spans="2:52" x14ac:dyDescent="0.25">
      <c r="B253" s="606"/>
      <c r="C253" s="607"/>
      <c r="D253" s="608"/>
      <c r="E253" s="698"/>
      <c r="F253" s="698"/>
      <c r="G253" s="609"/>
      <c r="H253" s="610"/>
      <c r="I253" s="611"/>
      <c r="J253" s="698"/>
      <c r="K253" s="698"/>
      <c r="L253" s="606"/>
      <c r="M253" s="607"/>
      <c r="N253" s="611"/>
      <c r="O253" s="612"/>
      <c r="P253" s="613"/>
      <c r="Q253" s="614"/>
      <c r="R253" s="741"/>
      <c r="S253" s="636"/>
      <c r="T253" s="743"/>
      <c r="U253" s="724"/>
      <c r="Y253" s="724"/>
      <c r="Z253" s="724"/>
      <c r="AA253" s="754"/>
      <c r="AB253" s="754"/>
      <c r="AC253" s="754"/>
      <c r="AD253" s="754"/>
      <c r="AE253" s="754"/>
      <c r="AF253" s="754"/>
      <c r="AG253" s="754"/>
      <c r="AH253" s="754"/>
      <c r="AI253" s="754"/>
      <c r="AJ253" s="754"/>
      <c r="AK253" s="754"/>
      <c r="AL253" s="754"/>
      <c r="AM253" s="754"/>
      <c r="AN253" s="754"/>
      <c r="AO253" s="754"/>
      <c r="AP253" s="754"/>
      <c r="AQ253" s="754"/>
      <c r="AR253" s="754"/>
      <c r="AS253" s="754"/>
      <c r="AT253" s="754"/>
      <c r="AU253" s="754"/>
      <c r="AV253" s="616"/>
      <c r="AW253" s="616"/>
      <c r="AX253" s="616"/>
      <c r="AY253" s="616"/>
      <c r="AZ253" s="616"/>
    </row>
    <row r="254" spans="2:52" x14ac:dyDescent="0.25">
      <c r="B254" s="606"/>
      <c r="C254" s="607"/>
      <c r="D254" s="608"/>
      <c r="E254" s="698"/>
      <c r="F254" s="698"/>
      <c r="G254" s="609"/>
      <c r="H254" s="610"/>
      <c r="I254" s="611"/>
      <c r="J254" s="698"/>
      <c r="K254" s="698"/>
      <c r="L254" s="606"/>
      <c r="M254" s="607"/>
      <c r="N254" s="611"/>
      <c r="O254" s="612"/>
      <c r="P254" s="613"/>
      <c r="Q254" s="614"/>
      <c r="R254" s="741"/>
      <c r="S254" s="636"/>
      <c r="T254" s="743"/>
      <c r="U254" s="724"/>
      <c r="Y254" s="724"/>
      <c r="Z254" s="724"/>
      <c r="AA254" s="754"/>
      <c r="AB254" s="754"/>
      <c r="AC254" s="754"/>
      <c r="AD254" s="754"/>
      <c r="AE254" s="754"/>
      <c r="AF254" s="754"/>
      <c r="AG254" s="754"/>
      <c r="AH254" s="754"/>
      <c r="AI254" s="754"/>
      <c r="AJ254" s="754"/>
      <c r="AK254" s="754"/>
      <c r="AL254" s="754"/>
      <c r="AM254" s="754"/>
      <c r="AN254" s="754"/>
      <c r="AO254" s="754"/>
      <c r="AP254" s="754"/>
      <c r="AQ254" s="754"/>
      <c r="AR254" s="754"/>
      <c r="AS254" s="754"/>
      <c r="AT254" s="754"/>
      <c r="AU254" s="754"/>
      <c r="AV254" s="616"/>
      <c r="AW254" s="616"/>
      <c r="AX254" s="616"/>
      <c r="AY254" s="616"/>
      <c r="AZ254" s="616"/>
    </row>
    <row r="255" spans="2:52" x14ac:dyDescent="0.25">
      <c r="B255" s="606"/>
      <c r="C255" s="607"/>
      <c r="D255" s="608"/>
      <c r="E255" s="698"/>
      <c r="F255" s="698"/>
      <c r="G255" s="609"/>
      <c r="H255" s="610"/>
      <c r="I255" s="611"/>
      <c r="J255" s="698"/>
      <c r="K255" s="698"/>
      <c r="L255" s="606"/>
      <c r="M255" s="607"/>
      <c r="N255" s="611"/>
      <c r="O255" s="612"/>
      <c r="P255" s="613"/>
      <c r="Q255" s="614"/>
      <c r="R255" s="741"/>
      <c r="S255" s="636"/>
      <c r="T255" s="743"/>
      <c r="U255" s="724"/>
      <c r="Y255" s="724"/>
      <c r="Z255" s="724"/>
      <c r="AA255" s="754"/>
      <c r="AB255" s="754"/>
      <c r="AC255" s="754"/>
      <c r="AD255" s="754"/>
      <c r="AE255" s="754"/>
      <c r="AF255" s="754"/>
      <c r="AG255" s="754"/>
      <c r="AH255" s="754"/>
      <c r="AI255" s="754"/>
      <c r="AJ255" s="754"/>
      <c r="AK255" s="754"/>
      <c r="AL255" s="754"/>
      <c r="AM255" s="754"/>
      <c r="AN255" s="754"/>
      <c r="AO255" s="754"/>
      <c r="AP255" s="754"/>
      <c r="AQ255" s="754"/>
      <c r="AR255" s="754"/>
      <c r="AS255" s="754"/>
      <c r="AT255" s="754"/>
      <c r="AU255" s="754"/>
      <c r="AV255" s="616"/>
      <c r="AW255" s="616"/>
      <c r="AX255" s="616"/>
      <c r="AY255" s="616"/>
      <c r="AZ255" s="616"/>
    </row>
    <row r="256" spans="2:52" x14ac:dyDescent="0.25">
      <c r="B256" s="606"/>
      <c r="C256" s="607"/>
      <c r="D256" s="608"/>
      <c r="E256" s="698"/>
      <c r="F256" s="698"/>
      <c r="G256" s="609"/>
      <c r="H256" s="610"/>
      <c r="I256" s="611"/>
      <c r="J256" s="698"/>
      <c r="K256" s="698"/>
      <c r="L256" s="606"/>
      <c r="M256" s="607"/>
      <c r="N256" s="611"/>
      <c r="O256" s="612"/>
      <c r="P256" s="613"/>
      <c r="Q256" s="614"/>
      <c r="R256" s="741"/>
      <c r="S256" s="636"/>
      <c r="T256" s="743"/>
      <c r="U256" s="724"/>
      <c r="Y256" s="724"/>
      <c r="Z256" s="724"/>
      <c r="AA256" s="754"/>
      <c r="AB256" s="754"/>
      <c r="AC256" s="754"/>
      <c r="AD256" s="754"/>
      <c r="AE256" s="754"/>
      <c r="AF256" s="754"/>
      <c r="AG256" s="754"/>
      <c r="AH256" s="754"/>
      <c r="AI256" s="754"/>
      <c r="AJ256" s="754"/>
      <c r="AK256" s="754"/>
      <c r="AL256" s="754"/>
      <c r="AM256" s="754"/>
      <c r="AN256" s="754"/>
      <c r="AO256" s="754"/>
      <c r="AP256" s="754"/>
      <c r="AQ256" s="754"/>
      <c r="AR256" s="754"/>
      <c r="AS256" s="754"/>
      <c r="AT256" s="754"/>
      <c r="AU256" s="754"/>
      <c r="AV256" s="616"/>
      <c r="AW256" s="616"/>
      <c r="AX256" s="616"/>
      <c r="AY256" s="616"/>
      <c r="AZ256" s="616"/>
    </row>
    <row r="257" spans="2:52" x14ac:dyDescent="0.25">
      <c r="B257" s="606"/>
      <c r="C257" s="607"/>
      <c r="D257" s="608"/>
      <c r="E257" s="698"/>
      <c r="F257" s="698"/>
      <c r="G257" s="609"/>
      <c r="H257" s="610"/>
      <c r="I257" s="611"/>
      <c r="J257" s="698"/>
      <c r="K257" s="698"/>
      <c r="L257" s="606"/>
      <c r="M257" s="607"/>
      <c r="N257" s="611"/>
      <c r="O257" s="612"/>
      <c r="P257" s="613"/>
      <c r="Q257" s="614"/>
      <c r="R257" s="741"/>
      <c r="S257" s="636"/>
      <c r="T257" s="743"/>
      <c r="U257" s="724"/>
      <c r="Y257" s="724"/>
      <c r="Z257" s="724"/>
      <c r="AA257" s="754"/>
      <c r="AB257" s="754"/>
      <c r="AC257" s="754"/>
      <c r="AD257" s="754"/>
      <c r="AE257" s="754"/>
      <c r="AF257" s="754"/>
      <c r="AG257" s="754"/>
      <c r="AH257" s="754"/>
      <c r="AI257" s="754"/>
      <c r="AJ257" s="754"/>
      <c r="AK257" s="754"/>
      <c r="AL257" s="754"/>
      <c r="AM257" s="754"/>
      <c r="AN257" s="754"/>
      <c r="AO257" s="754"/>
      <c r="AP257" s="754"/>
      <c r="AQ257" s="754"/>
      <c r="AR257" s="754"/>
      <c r="AS257" s="754"/>
      <c r="AT257" s="754"/>
      <c r="AU257" s="754"/>
      <c r="AV257" s="616"/>
      <c r="AW257" s="616"/>
      <c r="AX257" s="616"/>
      <c r="AY257" s="616"/>
      <c r="AZ257" s="616"/>
    </row>
    <row r="258" spans="2:52" x14ac:dyDescent="0.25">
      <c r="B258" s="606"/>
      <c r="C258" s="607"/>
      <c r="D258" s="608"/>
      <c r="E258" s="698"/>
      <c r="F258" s="698"/>
      <c r="G258" s="609"/>
      <c r="H258" s="610"/>
      <c r="I258" s="611"/>
      <c r="J258" s="698"/>
      <c r="K258" s="698"/>
      <c r="L258" s="606"/>
      <c r="M258" s="607"/>
      <c r="N258" s="611"/>
      <c r="O258" s="612"/>
      <c r="P258" s="613"/>
      <c r="Q258" s="614"/>
      <c r="R258" s="741"/>
      <c r="S258" s="636"/>
      <c r="T258" s="743"/>
      <c r="U258" s="724"/>
      <c r="Y258" s="724"/>
      <c r="Z258" s="724"/>
      <c r="AA258" s="754"/>
      <c r="AB258" s="754"/>
      <c r="AC258" s="754"/>
      <c r="AD258" s="754"/>
      <c r="AE258" s="754"/>
      <c r="AF258" s="754"/>
      <c r="AG258" s="754"/>
      <c r="AH258" s="754"/>
      <c r="AI258" s="754"/>
      <c r="AJ258" s="754"/>
      <c r="AK258" s="754"/>
      <c r="AL258" s="754"/>
      <c r="AM258" s="754"/>
      <c r="AN258" s="754"/>
      <c r="AO258" s="754"/>
      <c r="AP258" s="754"/>
      <c r="AQ258" s="754"/>
      <c r="AR258" s="754"/>
      <c r="AS258" s="754"/>
      <c r="AT258" s="754"/>
      <c r="AU258" s="754"/>
      <c r="AV258" s="616"/>
      <c r="AW258" s="616"/>
      <c r="AX258" s="616"/>
      <c r="AY258" s="616"/>
      <c r="AZ258" s="616"/>
    </row>
    <row r="259" spans="2:52" x14ac:dyDescent="0.25">
      <c r="B259" s="606"/>
      <c r="C259" s="607"/>
      <c r="D259" s="608"/>
      <c r="E259" s="698"/>
      <c r="F259" s="698"/>
      <c r="G259" s="609"/>
      <c r="H259" s="610"/>
      <c r="I259" s="611"/>
      <c r="J259" s="698"/>
      <c r="K259" s="698"/>
      <c r="L259" s="606"/>
      <c r="M259" s="607"/>
      <c r="N259" s="611"/>
      <c r="O259" s="612"/>
      <c r="P259" s="613"/>
      <c r="Q259" s="614"/>
      <c r="R259" s="741"/>
      <c r="S259" s="636"/>
      <c r="T259" s="743"/>
      <c r="U259" s="724"/>
      <c r="Y259" s="724"/>
      <c r="Z259" s="724"/>
      <c r="AA259" s="754"/>
      <c r="AB259" s="754"/>
      <c r="AC259" s="754"/>
      <c r="AD259" s="754"/>
      <c r="AE259" s="754"/>
      <c r="AF259" s="754"/>
      <c r="AG259" s="754"/>
      <c r="AH259" s="754"/>
      <c r="AI259" s="754"/>
      <c r="AJ259" s="754"/>
      <c r="AK259" s="754"/>
      <c r="AL259" s="754"/>
      <c r="AM259" s="754"/>
      <c r="AN259" s="754"/>
      <c r="AO259" s="754"/>
      <c r="AP259" s="754"/>
      <c r="AQ259" s="754"/>
      <c r="AR259" s="754"/>
      <c r="AS259" s="754"/>
      <c r="AT259" s="754"/>
      <c r="AU259" s="754"/>
      <c r="AV259" s="616"/>
      <c r="AW259" s="616"/>
      <c r="AX259" s="616"/>
      <c r="AY259" s="616"/>
      <c r="AZ259" s="616"/>
    </row>
    <row r="260" spans="2:52" x14ac:dyDescent="0.25">
      <c r="B260" s="606"/>
      <c r="C260" s="607"/>
      <c r="D260" s="608"/>
      <c r="E260" s="698"/>
      <c r="F260" s="698"/>
      <c r="G260" s="609"/>
      <c r="H260" s="610"/>
      <c r="I260" s="611"/>
      <c r="J260" s="698"/>
      <c r="K260" s="698"/>
      <c r="L260" s="606"/>
      <c r="M260" s="607"/>
      <c r="N260" s="611"/>
      <c r="O260" s="612"/>
      <c r="P260" s="613"/>
      <c r="Q260" s="614"/>
      <c r="R260" s="741"/>
      <c r="S260" s="636"/>
      <c r="T260" s="743"/>
      <c r="U260" s="724"/>
      <c r="Y260" s="724"/>
      <c r="Z260" s="724"/>
      <c r="AA260" s="754"/>
      <c r="AB260" s="754"/>
      <c r="AC260" s="754"/>
      <c r="AD260" s="754"/>
      <c r="AE260" s="754"/>
      <c r="AF260" s="754"/>
      <c r="AG260" s="754"/>
      <c r="AH260" s="754"/>
      <c r="AI260" s="754"/>
      <c r="AJ260" s="754"/>
      <c r="AK260" s="754"/>
      <c r="AL260" s="754"/>
      <c r="AM260" s="754"/>
      <c r="AN260" s="754"/>
      <c r="AO260" s="754"/>
      <c r="AP260" s="754"/>
      <c r="AQ260" s="754"/>
      <c r="AR260" s="754"/>
      <c r="AS260" s="754"/>
      <c r="AT260" s="754"/>
      <c r="AU260" s="754"/>
      <c r="AV260" s="616"/>
      <c r="AW260" s="616"/>
      <c r="AX260" s="616"/>
      <c r="AY260" s="616"/>
      <c r="AZ260" s="616"/>
    </row>
    <row r="261" spans="2:52" x14ac:dyDescent="0.25">
      <c r="B261" s="606"/>
      <c r="C261" s="607"/>
      <c r="D261" s="608"/>
      <c r="E261" s="698"/>
      <c r="F261" s="698"/>
      <c r="G261" s="609"/>
      <c r="H261" s="610"/>
      <c r="I261" s="611"/>
      <c r="J261" s="698"/>
      <c r="K261" s="698"/>
      <c r="L261" s="606"/>
      <c r="M261" s="607"/>
      <c r="N261" s="611"/>
      <c r="O261" s="612"/>
      <c r="P261" s="613"/>
      <c r="Q261" s="614"/>
      <c r="R261" s="741"/>
      <c r="S261" s="636"/>
      <c r="T261" s="743"/>
      <c r="U261" s="724"/>
      <c r="Y261" s="724"/>
      <c r="Z261" s="724"/>
      <c r="AA261" s="754"/>
      <c r="AB261" s="754"/>
      <c r="AC261" s="754"/>
      <c r="AD261" s="754"/>
      <c r="AE261" s="754"/>
      <c r="AF261" s="754"/>
      <c r="AG261" s="754"/>
      <c r="AH261" s="754"/>
      <c r="AI261" s="754"/>
      <c r="AJ261" s="754"/>
      <c r="AK261" s="754"/>
      <c r="AL261" s="754"/>
      <c r="AM261" s="754"/>
      <c r="AN261" s="754"/>
      <c r="AO261" s="754"/>
      <c r="AP261" s="754"/>
      <c r="AQ261" s="754"/>
      <c r="AR261" s="754"/>
      <c r="AS261" s="754"/>
      <c r="AT261" s="754"/>
      <c r="AU261" s="754"/>
      <c r="AV261" s="616"/>
      <c r="AW261" s="616"/>
      <c r="AX261" s="616"/>
      <c r="AY261" s="616"/>
      <c r="AZ261" s="616"/>
    </row>
    <row r="262" spans="2:52" x14ac:dyDescent="0.25">
      <c r="B262" s="606"/>
      <c r="C262" s="607"/>
      <c r="D262" s="608"/>
      <c r="E262" s="698"/>
      <c r="F262" s="698"/>
      <c r="G262" s="609"/>
      <c r="H262" s="610"/>
      <c r="I262" s="611"/>
      <c r="J262" s="698"/>
      <c r="K262" s="698"/>
      <c r="L262" s="606"/>
      <c r="M262" s="607"/>
      <c r="N262" s="611"/>
      <c r="O262" s="612"/>
      <c r="P262" s="613"/>
      <c r="Q262" s="614"/>
      <c r="R262" s="741"/>
      <c r="S262" s="636"/>
      <c r="T262" s="743"/>
      <c r="U262" s="724"/>
      <c r="Y262" s="724"/>
      <c r="Z262" s="724"/>
      <c r="AA262" s="754"/>
      <c r="AB262" s="754"/>
      <c r="AC262" s="754"/>
      <c r="AD262" s="754"/>
      <c r="AE262" s="754"/>
      <c r="AF262" s="754"/>
      <c r="AG262" s="754"/>
      <c r="AH262" s="754"/>
      <c r="AI262" s="754"/>
      <c r="AJ262" s="754"/>
      <c r="AK262" s="754"/>
      <c r="AL262" s="754"/>
      <c r="AM262" s="754"/>
      <c r="AN262" s="754"/>
      <c r="AO262" s="754"/>
      <c r="AP262" s="754"/>
      <c r="AQ262" s="754"/>
      <c r="AR262" s="754"/>
      <c r="AS262" s="754"/>
      <c r="AT262" s="754"/>
      <c r="AU262" s="754"/>
      <c r="AV262" s="616"/>
      <c r="AW262" s="616"/>
      <c r="AX262" s="616"/>
      <c r="AY262" s="616"/>
      <c r="AZ262" s="616"/>
    </row>
    <row r="263" spans="2:52" x14ac:dyDescent="0.25">
      <c r="B263" s="606"/>
      <c r="C263" s="607"/>
      <c r="D263" s="608"/>
      <c r="E263" s="698"/>
      <c r="F263" s="698"/>
      <c r="G263" s="609"/>
      <c r="H263" s="610"/>
      <c r="I263" s="611"/>
      <c r="J263" s="698"/>
      <c r="K263" s="698"/>
      <c r="L263" s="606"/>
      <c r="M263" s="607"/>
      <c r="N263" s="611"/>
      <c r="O263" s="612"/>
      <c r="P263" s="613"/>
      <c r="Q263" s="614"/>
      <c r="R263" s="741"/>
      <c r="S263" s="636"/>
      <c r="T263" s="743"/>
      <c r="U263" s="724"/>
      <c r="Y263" s="724"/>
      <c r="Z263" s="724"/>
      <c r="AA263" s="754"/>
      <c r="AB263" s="754"/>
      <c r="AC263" s="754"/>
      <c r="AD263" s="754"/>
      <c r="AE263" s="754"/>
      <c r="AF263" s="754"/>
      <c r="AG263" s="754"/>
      <c r="AH263" s="754"/>
      <c r="AI263" s="754"/>
      <c r="AJ263" s="754"/>
      <c r="AK263" s="754"/>
      <c r="AL263" s="754"/>
      <c r="AM263" s="754"/>
      <c r="AN263" s="754"/>
      <c r="AO263" s="754"/>
      <c r="AP263" s="754"/>
      <c r="AQ263" s="754"/>
      <c r="AR263" s="754"/>
      <c r="AS263" s="754"/>
      <c r="AT263" s="754"/>
      <c r="AU263" s="754"/>
      <c r="AV263" s="616"/>
      <c r="AW263" s="616"/>
      <c r="AX263" s="616"/>
      <c r="AY263" s="616"/>
      <c r="AZ263" s="616"/>
    </row>
    <row r="264" spans="2:52" x14ac:dyDescent="0.25">
      <c r="B264" s="606"/>
      <c r="C264" s="607"/>
      <c r="D264" s="608"/>
      <c r="E264" s="698"/>
      <c r="F264" s="698"/>
      <c r="G264" s="609"/>
      <c r="H264" s="610"/>
      <c r="I264" s="611"/>
      <c r="J264" s="698"/>
      <c r="K264" s="698"/>
      <c r="L264" s="606"/>
      <c r="M264" s="607"/>
      <c r="N264" s="611"/>
      <c r="O264" s="612"/>
      <c r="P264" s="613"/>
      <c r="Q264" s="614"/>
      <c r="R264" s="741"/>
      <c r="S264" s="636"/>
      <c r="T264" s="743"/>
      <c r="U264" s="724"/>
      <c r="Y264" s="724"/>
      <c r="Z264" s="724"/>
      <c r="AA264" s="754"/>
      <c r="AB264" s="754"/>
      <c r="AC264" s="754"/>
      <c r="AD264" s="754"/>
      <c r="AE264" s="754"/>
      <c r="AF264" s="754"/>
      <c r="AG264" s="754"/>
      <c r="AH264" s="754"/>
      <c r="AI264" s="754"/>
      <c r="AJ264" s="754"/>
      <c r="AK264" s="754"/>
      <c r="AL264" s="754"/>
      <c r="AM264" s="754"/>
      <c r="AN264" s="754"/>
      <c r="AO264" s="754"/>
      <c r="AP264" s="754"/>
      <c r="AQ264" s="754"/>
      <c r="AR264" s="754"/>
      <c r="AS264" s="754"/>
      <c r="AT264" s="754"/>
      <c r="AU264" s="754"/>
      <c r="AV264" s="616"/>
      <c r="AW264" s="616"/>
      <c r="AX264" s="616"/>
      <c r="AY264" s="616"/>
      <c r="AZ264" s="616"/>
    </row>
    <row r="265" spans="2:52" x14ac:dyDescent="0.25">
      <c r="B265" s="606"/>
      <c r="C265" s="607"/>
      <c r="D265" s="608"/>
      <c r="E265" s="698"/>
      <c r="F265" s="698"/>
      <c r="G265" s="609"/>
      <c r="H265" s="610"/>
      <c r="I265" s="611"/>
      <c r="J265" s="698"/>
      <c r="K265" s="698"/>
      <c r="L265" s="606"/>
      <c r="M265" s="607"/>
      <c r="N265" s="611"/>
      <c r="O265" s="612"/>
      <c r="P265" s="613"/>
      <c r="Q265" s="614"/>
      <c r="R265" s="741"/>
      <c r="S265" s="636"/>
      <c r="T265" s="743"/>
      <c r="U265" s="724"/>
      <c r="Y265" s="724"/>
      <c r="Z265" s="724"/>
      <c r="AA265" s="754"/>
      <c r="AB265" s="754"/>
      <c r="AC265" s="754"/>
      <c r="AD265" s="754"/>
      <c r="AE265" s="754"/>
      <c r="AF265" s="754"/>
      <c r="AG265" s="754"/>
      <c r="AH265" s="754"/>
      <c r="AI265" s="754"/>
      <c r="AJ265" s="754"/>
      <c r="AK265" s="754"/>
      <c r="AL265" s="754"/>
      <c r="AM265" s="754"/>
      <c r="AN265" s="754"/>
      <c r="AO265" s="754"/>
      <c r="AP265" s="754"/>
      <c r="AQ265" s="754"/>
      <c r="AR265" s="754"/>
      <c r="AS265" s="754"/>
      <c r="AT265" s="754"/>
      <c r="AU265" s="754"/>
      <c r="AV265" s="616"/>
      <c r="AW265" s="616"/>
      <c r="AX265" s="616"/>
      <c r="AY265" s="616"/>
      <c r="AZ265" s="616"/>
    </row>
    <row r="266" spans="2:52" x14ac:dyDescent="0.25">
      <c r="B266" s="606"/>
      <c r="C266" s="607"/>
      <c r="D266" s="608"/>
      <c r="E266" s="698"/>
      <c r="F266" s="698"/>
      <c r="G266" s="609"/>
      <c r="H266" s="610"/>
      <c r="I266" s="611"/>
      <c r="J266" s="698"/>
      <c r="K266" s="698"/>
      <c r="L266" s="606"/>
      <c r="M266" s="607"/>
      <c r="N266" s="611"/>
      <c r="O266" s="612"/>
      <c r="P266" s="613"/>
      <c r="Q266" s="614"/>
      <c r="R266" s="741"/>
      <c r="S266" s="636"/>
      <c r="T266" s="743"/>
      <c r="U266" s="724"/>
      <c r="Y266" s="724"/>
      <c r="Z266" s="724"/>
      <c r="AA266" s="754"/>
      <c r="AB266" s="754"/>
      <c r="AC266" s="754"/>
      <c r="AD266" s="754"/>
      <c r="AE266" s="754"/>
      <c r="AF266" s="754"/>
      <c r="AG266" s="754"/>
      <c r="AH266" s="754"/>
      <c r="AI266" s="754"/>
      <c r="AJ266" s="754"/>
      <c r="AK266" s="754"/>
      <c r="AL266" s="754"/>
      <c r="AM266" s="754"/>
      <c r="AN266" s="754"/>
      <c r="AO266" s="754"/>
      <c r="AP266" s="754"/>
      <c r="AQ266" s="754"/>
      <c r="AR266" s="754"/>
      <c r="AS266" s="754"/>
      <c r="AT266" s="754"/>
      <c r="AU266" s="754"/>
      <c r="AV266" s="616"/>
      <c r="AW266" s="616"/>
      <c r="AX266" s="616"/>
      <c r="AY266" s="616"/>
      <c r="AZ266" s="616"/>
    </row>
    <row r="267" spans="2:52" x14ac:dyDescent="0.25">
      <c r="B267" s="606"/>
      <c r="C267" s="607"/>
      <c r="D267" s="608"/>
      <c r="E267" s="698"/>
      <c r="F267" s="698"/>
      <c r="G267" s="609"/>
      <c r="H267" s="610"/>
      <c r="I267" s="611"/>
      <c r="J267" s="698"/>
      <c r="K267" s="698"/>
      <c r="L267" s="606"/>
      <c r="M267" s="607"/>
      <c r="N267" s="611"/>
      <c r="O267" s="612"/>
      <c r="P267" s="613"/>
      <c r="Q267" s="614"/>
      <c r="R267" s="741"/>
      <c r="S267" s="636"/>
      <c r="T267" s="743"/>
      <c r="U267" s="724"/>
      <c r="Y267" s="724"/>
      <c r="Z267" s="724"/>
      <c r="AA267" s="754"/>
      <c r="AB267" s="754"/>
      <c r="AC267" s="754"/>
      <c r="AD267" s="754"/>
      <c r="AE267" s="754"/>
      <c r="AF267" s="754"/>
      <c r="AG267" s="754"/>
      <c r="AH267" s="754"/>
      <c r="AI267" s="754"/>
      <c r="AJ267" s="754"/>
      <c r="AK267" s="754"/>
      <c r="AL267" s="754"/>
      <c r="AM267" s="754"/>
      <c r="AN267" s="754"/>
      <c r="AO267" s="754"/>
      <c r="AP267" s="754"/>
      <c r="AQ267" s="754"/>
      <c r="AR267" s="754"/>
      <c r="AS267" s="754"/>
      <c r="AT267" s="754"/>
      <c r="AU267" s="754"/>
      <c r="AV267" s="616"/>
      <c r="AW267" s="616"/>
      <c r="AX267" s="616"/>
      <c r="AY267" s="616"/>
      <c r="AZ267" s="616"/>
    </row>
    <row r="268" spans="2:52" x14ac:dyDescent="0.25">
      <c r="B268" s="606"/>
      <c r="C268" s="607"/>
      <c r="D268" s="608"/>
      <c r="E268" s="698"/>
      <c r="F268" s="698"/>
      <c r="G268" s="609"/>
      <c r="H268" s="610"/>
      <c r="I268" s="611"/>
      <c r="J268" s="698"/>
      <c r="K268" s="698"/>
      <c r="L268" s="606"/>
      <c r="M268" s="607"/>
      <c r="N268" s="611"/>
      <c r="O268" s="612"/>
      <c r="P268" s="613"/>
      <c r="Q268" s="614"/>
      <c r="R268" s="741"/>
      <c r="S268" s="636"/>
      <c r="T268" s="743"/>
      <c r="U268" s="724"/>
      <c r="Y268" s="724"/>
      <c r="Z268" s="724"/>
      <c r="AA268" s="754"/>
      <c r="AB268" s="754"/>
      <c r="AC268" s="754"/>
      <c r="AD268" s="754"/>
      <c r="AE268" s="754"/>
      <c r="AF268" s="754"/>
      <c r="AG268" s="754"/>
      <c r="AH268" s="754"/>
      <c r="AI268" s="754"/>
      <c r="AJ268" s="754"/>
      <c r="AK268" s="754"/>
      <c r="AL268" s="754"/>
      <c r="AM268" s="754"/>
      <c r="AN268" s="754"/>
      <c r="AO268" s="754"/>
      <c r="AP268" s="754"/>
      <c r="AQ268" s="754"/>
      <c r="AR268" s="754"/>
      <c r="AS268" s="754"/>
      <c r="AT268" s="754"/>
      <c r="AU268" s="754"/>
      <c r="AV268" s="616"/>
      <c r="AW268" s="616"/>
      <c r="AX268" s="616"/>
      <c r="AY268" s="616"/>
      <c r="AZ268" s="616"/>
    </row>
    <row r="269" spans="2:52" x14ac:dyDescent="0.25">
      <c r="B269" s="606"/>
      <c r="C269" s="607"/>
      <c r="D269" s="608"/>
      <c r="E269" s="698"/>
      <c r="F269" s="698"/>
      <c r="G269" s="609"/>
      <c r="H269" s="610"/>
      <c r="I269" s="611"/>
      <c r="J269" s="698"/>
      <c r="K269" s="698"/>
      <c r="L269" s="606"/>
      <c r="M269" s="607"/>
      <c r="N269" s="611"/>
      <c r="O269" s="612"/>
      <c r="P269" s="613"/>
      <c r="Q269" s="614"/>
      <c r="R269" s="741"/>
      <c r="S269" s="636"/>
      <c r="T269" s="743"/>
      <c r="U269" s="724"/>
      <c r="Y269" s="724"/>
      <c r="Z269" s="724"/>
      <c r="AA269" s="754"/>
      <c r="AB269" s="754"/>
      <c r="AC269" s="754"/>
      <c r="AD269" s="754"/>
      <c r="AE269" s="754"/>
      <c r="AF269" s="754"/>
      <c r="AG269" s="754"/>
      <c r="AH269" s="754"/>
      <c r="AI269" s="754"/>
      <c r="AJ269" s="754"/>
      <c r="AK269" s="754"/>
      <c r="AL269" s="754"/>
      <c r="AM269" s="754"/>
      <c r="AN269" s="754"/>
      <c r="AO269" s="754"/>
      <c r="AP269" s="754"/>
      <c r="AQ269" s="754"/>
      <c r="AR269" s="754"/>
      <c r="AS269" s="754"/>
      <c r="AT269" s="754"/>
      <c r="AU269" s="754"/>
      <c r="AV269" s="616"/>
      <c r="AW269" s="616"/>
      <c r="AX269" s="616"/>
      <c r="AY269" s="616"/>
      <c r="AZ269" s="616"/>
    </row>
    <row r="270" spans="2:52" x14ac:dyDescent="0.25">
      <c r="B270" s="606"/>
      <c r="C270" s="607"/>
      <c r="D270" s="608"/>
      <c r="E270" s="698"/>
      <c r="F270" s="698"/>
      <c r="G270" s="609"/>
      <c r="H270" s="610"/>
      <c r="I270" s="611"/>
      <c r="J270" s="698"/>
      <c r="K270" s="698"/>
      <c r="L270" s="606"/>
      <c r="M270" s="607"/>
      <c r="N270" s="611"/>
      <c r="O270" s="612"/>
      <c r="P270" s="613"/>
      <c r="Q270" s="614"/>
      <c r="R270" s="741"/>
      <c r="S270" s="636"/>
      <c r="T270" s="743"/>
      <c r="U270" s="724"/>
      <c r="Y270" s="724"/>
      <c r="Z270" s="724"/>
      <c r="AA270" s="754"/>
      <c r="AB270" s="754"/>
      <c r="AC270" s="754"/>
      <c r="AD270" s="754"/>
      <c r="AE270" s="754"/>
      <c r="AF270" s="754"/>
      <c r="AG270" s="754"/>
      <c r="AH270" s="754"/>
      <c r="AI270" s="754"/>
      <c r="AJ270" s="754"/>
      <c r="AK270" s="754"/>
      <c r="AL270" s="754"/>
      <c r="AM270" s="754"/>
      <c r="AN270" s="754"/>
      <c r="AO270" s="754"/>
      <c r="AP270" s="754"/>
      <c r="AQ270" s="754"/>
      <c r="AR270" s="754"/>
      <c r="AS270" s="754"/>
      <c r="AT270" s="754"/>
      <c r="AU270" s="754"/>
      <c r="AV270" s="616"/>
      <c r="AW270" s="616"/>
      <c r="AX270" s="616"/>
      <c r="AY270" s="616"/>
      <c r="AZ270" s="616"/>
    </row>
    <row r="271" spans="2:52" x14ac:dyDescent="0.25">
      <c r="B271" s="606"/>
      <c r="C271" s="607"/>
      <c r="D271" s="608"/>
      <c r="E271" s="698"/>
      <c r="F271" s="698"/>
      <c r="G271" s="609"/>
      <c r="H271" s="610"/>
      <c r="I271" s="611"/>
      <c r="J271" s="698"/>
      <c r="K271" s="698"/>
      <c r="L271" s="606"/>
      <c r="M271" s="607"/>
      <c r="N271" s="611"/>
      <c r="O271" s="612"/>
      <c r="P271" s="613"/>
      <c r="Q271" s="614"/>
      <c r="R271" s="741"/>
      <c r="S271" s="636"/>
      <c r="T271" s="743"/>
      <c r="U271" s="724"/>
      <c r="Y271" s="724"/>
      <c r="Z271" s="724"/>
      <c r="AA271" s="754"/>
      <c r="AB271" s="754"/>
      <c r="AC271" s="754"/>
      <c r="AD271" s="754"/>
      <c r="AE271" s="754"/>
      <c r="AF271" s="754"/>
      <c r="AG271" s="754"/>
      <c r="AH271" s="754"/>
      <c r="AI271" s="754"/>
      <c r="AJ271" s="754"/>
      <c r="AK271" s="754"/>
      <c r="AL271" s="754"/>
      <c r="AM271" s="754"/>
      <c r="AN271" s="754"/>
      <c r="AO271" s="754"/>
      <c r="AP271" s="754"/>
      <c r="AQ271" s="754"/>
      <c r="AR271" s="754"/>
      <c r="AS271" s="754"/>
      <c r="AT271" s="754"/>
      <c r="AU271" s="754"/>
      <c r="AV271" s="616"/>
      <c r="AW271" s="616"/>
      <c r="AX271" s="616"/>
      <c r="AY271" s="616"/>
      <c r="AZ271" s="616"/>
    </row>
    <row r="272" spans="2:52" x14ac:dyDescent="0.25">
      <c r="B272" s="606"/>
      <c r="C272" s="607"/>
      <c r="D272" s="608"/>
      <c r="E272" s="698"/>
      <c r="F272" s="698"/>
      <c r="G272" s="609"/>
      <c r="H272" s="610"/>
      <c r="I272" s="611"/>
      <c r="J272" s="698"/>
      <c r="K272" s="698"/>
      <c r="L272" s="606"/>
      <c r="M272" s="607"/>
      <c r="N272" s="611"/>
      <c r="O272" s="612"/>
      <c r="P272" s="613"/>
      <c r="Q272" s="614"/>
      <c r="R272" s="741"/>
      <c r="S272" s="636"/>
      <c r="T272" s="743"/>
      <c r="U272" s="724"/>
      <c r="Y272" s="724"/>
      <c r="Z272" s="724"/>
      <c r="AA272" s="754"/>
      <c r="AB272" s="754"/>
      <c r="AC272" s="754"/>
      <c r="AD272" s="754"/>
      <c r="AE272" s="754"/>
      <c r="AF272" s="754"/>
      <c r="AG272" s="754"/>
      <c r="AH272" s="754"/>
      <c r="AI272" s="754"/>
      <c r="AJ272" s="754"/>
      <c r="AK272" s="754"/>
      <c r="AL272" s="754"/>
      <c r="AM272" s="754"/>
      <c r="AN272" s="754"/>
      <c r="AO272" s="754"/>
      <c r="AP272" s="754"/>
      <c r="AQ272" s="754"/>
      <c r="AR272" s="754"/>
      <c r="AS272" s="754"/>
      <c r="AT272" s="754"/>
      <c r="AU272" s="754"/>
      <c r="AV272" s="616"/>
      <c r="AW272" s="616"/>
      <c r="AX272" s="616"/>
      <c r="AY272" s="616"/>
      <c r="AZ272" s="616"/>
    </row>
    <row r="273" spans="2:52" x14ac:dyDescent="0.25">
      <c r="B273" s="606"/>
      <c r="C273" s="607"/>
      <c r="D273" s="608"/>
      <c r="E273" s="698"/>
      <c r="F273" s="698"/>
      <c r="G273" s="609"/>
      <c r="H273" s="610"/>
      <c r="I273" s="611"/>
      <c r="J273" s="698"/>
      <c r="K273" s="698"/>
      <c r="L273" s="606"/>
      <c r="M273" s="607"/>
      <c r="N273" s="611"/>
      <c r="O273" s="612"/>
      <c r="P273" s="613"/>
      <c r="Q273" s="614"/>
      <c r="R273" s="741"/>
      <c r="S273" s="636"/>
      <c r="T273" s="743"/>
      <c r="U273" s="724"/>
      <c r="Y273" s="724"/>
      <c r="Z273" s="724"/>
      <c r="AA273" s="754"/>
      <c r="AB273" s="754"/>
      <c r="AC273" s="754"/>
      <c r="AD273" s="754"/>
      <c r="AE273" s="754"/>
      <c r="AF273" s="754"/>
      <c r="AG273" s="754"/>
      <c r="AH273" s="754"/>
      <c r="AI273" s="754"/>
      <c r="AJ273" s="754"/>
      <c r="AK273" s="754"/>
      <c r="AL273" s="754"/>
      <c r="AM273" s="754"/>
      <c r="AN273" s="754"/>
      <c r="AO273" s="754"/>
      <c r="AP273" s="754"/>
      <c r="AQ273" s="754"/>
      <c r="AR273" s="754"/>
      <c r="AS273" s="754"/>
      <c r="AT273" s="754"/>
      <c r="AU273" s="754"/>
      <c r="AV273" s="616"/>
      <c r="AW273" s="616"/>
      <c r="AX273" s="616"/>
      <c r="AY273" s="616"/>
      <c r="AZ273" s="616"/>
    </row>
    <row r="274" spans="2:52" x14ac:dyDescent="0.25">
      <c r="B274" s="606"/>
      <c r="C274" s="607"/>
      <c r="D274" s="608"/>
      <c r="E274" s="698"/>
      <c r="F274" s="698"/>
      <c r="G274" s="609"/>
      <c r="H274" s="610"/>
      <c r="I274" s="611"/>
      <c r="J274" s="698"/>
      <c r="K274" s="698"/>
      <c r="L274" s="606"/>
      <c r="M274" s="607"/>
      <c r="N274" s="611"/>
      <c r="O274" s="612"/>
      <c r="P274" s="613"/>
      <c r="Q274" s="614"/>
      <c r="R274" s="741"/>
      <c r="S274" s="636"/>
      <c r="T274" s="743"/>
      <c r="U274" s="724"/>
      <c r="Y274" s="724"/>
      <c r="Z274" s="724"/>
      <c r="AA274" s="754"/>
      <c r="AB274" s="754"/>
      <c r="AC274" s="754"/>
      <c r="AD274" s="754"/>
      <c r="AE274" s="754"/>
      <c r="AF274" s="754"/>
      <c r="AG274" s="754"/>
      <c r="AH274" s="754"/>
      <c r="AI274" s="754"/>
      <c r="AJ274" s="754"/>
      <c r="AK274" s="754"/>
      <c r="AL274" s="754"/>
      <c r="AM274" s="754"/>
      <c r="AN274" s="754"/>
      <c r="AO274" s="754"/>
      <c r="AP274" s="754"/>
      <c r="AQ274" s="754"/>
      <c r="AR274" s="754"/>
      <c r="AS274" s="754"/>
      <c r="AT274" s="754"/>
      <c r="AU274" s="754"/>
      <c r="AV274" s="616"/>
      <c r="AW274" s="616"/>
      <c r="AX274" s="616"/>
      <c r="AY274" s="616"/>
      <c r="AZ274" s="616"/>
    </row>
    <row r="275" spans="2:52" x14ac:dyDescent="0.25">
      <c r="B275" s="606"/>
      <c r="C275" s="607"/>
      <c r="D275" s="608"/>
      <c r="E275" s="698"/>
      <c r="F275" s="698"/>
      <c r="G275" s="609"/>
      <c r="H275" s="610"/>
      <c r="I275" s="611"/>
      <c r="J275" s="698"/>
      <c r="K275" s="698"/>
      <c r="L275" s="606"/>
      <c r="M275" s="607"/>
      <c r="N275" s="611"/>
      <c r="O275" s="612"/>
      <c r="P275" s="613"/>
      <c r="Q275" s="614"/>
      <c r="R275" s="741"/>
      <c r="S275" s="636"/>
      <c r="T275" s="743"/>
      <c r="U275" s="724"/>
      <c r="Y275" s="724"/>
      <c r="Z275" s="724"/>
      <c r="AA275" s="754"/>
      <c r="AB275" s="754"/>
      <c r="AC275" s="754"/>
      <c r="AD275" s="754"/>
      <c r="AE275" s="754"/>
      <c r="AF275" s="754"/>
      <c r="AG275" s="754"/>
      <c r="AH275" s="754"/>
      <c r="AI275" s="754"/>
      <c r="AJ275" s="754"/>
      <c r="AK275" s="754"/>
      <c r="AL275" s="754"/>
      <c r="AM275" s="754"/>
      <c r="AN275" s="754"/>
      <c r="AO275" s="754"/>
      <c r="AP275" s="754"/>
      <c r="AQ275" s="754"/>
      <c r="AR275" s="754"/>
      <c r="AS275" s="754"/>
      <c r="AT275" s="754"/>
      <c r="AU275" s="754"/>
      <c r="AV275" s="616"/>
      <c r="AW275" s="616"/>
      <c r="AX275" s="616"/>
      <c r="AY275" s="616"/>
      <c r="AZ275" s="616"/>
    </row>
    <row r="276" spans="2:52" x14ac:dyDescent="0.25">
      <c r="B276" s="606"/>
      <c r="C276" s="607"/>
      <c r="D276" s="608"/>
      <c r="E276" s="698"/>
      <c r="F276" s="698"/>
      <c r="G276" s="609"/>
      <c r="H276" s="610"/>
      <c r="I276" s="611"/>
      <c r="J276" s="698"/>
      <c r="K276" s="698"/>
      <c r="L276" s="606"/>
      <c r="M276" s="607"/>
      <c r="N276" s="611"/>
      <c r="O276" s="612"/>
      <c r="P276" s="613"/>
      <c r="Q276" s="614"/>
      <c r="R276" s="741"/>
      <c r="S276" s="636"/>
      <c r="T276" s="743"/>
      <c r="U276" s="724"/>
      <c r="Y276" s="724"/>
      <c r="Z276" s="724"/>
      <c r="AA276" s="754"/>
      <c r="AB276" s="754"/>
      <c r="AC276" s="754"/>
      <c r="AD276" s="754"/>
      <c r="AE276" s="754"/>
      <c r="AF276" s="754"/>
      <c r="AG276" s="754"/>
      <c r="AH276" s="754"/>
      <c r="AI276" s="754"/>
      <c r="AJ276" s="754"/>
      <c r="AK276" s="754"/>
      <c r="AL276" s="754"/>
      <c r="AM276" s="754"/>
      <c r="AN276" s="754"/>
      <c r="AO276" s="754"/>
      <c r="AP276" s="754"/>
      <c r="AQ276" s="754"/>
      <c r="AR276" s="754"/>
      <c r="AS276" s="754"/>
      <c r="AT276" s="754"/>
      <c r="AU276" s="754"/>
      <c r="AV276" s="616"/>
      <c r="AW276" s="616"/>
      <c r="AX276" s="616"/>
      <c r="AY276" s="616"/>
      <c r="AZ276" s="616"/>
    </row>
    <row r="277" spans="2:52" x14ac:dyDescent="0.25">
      <c r="B277" s="606"/>
      <c r="C277" s="607"/>
      <c r="D277" s="608"/>
      <c r="E277" s="698"/>
      <c r="F277" s="698"/>
      <c r="G277" s="609"/>
      <c r="H277" s="610"/>
      <c r="I277" s="611"/>
      <c r="J277" s="698"/>
      <c r="K277" s="698"/>
      <c r="L277" s="606"/>
      <c r="M277" s="607"/>
      <c r="N277" s="611"/>
      <c r="O277" s="612"/>
      <c r="P277" s="613"/>
      <c r="Q277" s="614"/>
      <c r="R277" s="741"/>
      <c r="S277" s="636"/>
      <c r="T277" s="743"/>
      <c r="U277" s="724"/>
      <c r="Y277" s="724"/>
      <c r="Z277" s="724"/>
      <c r="AA277" s="754"/>
      <c r="AB277" s="754"/>
      <c r="AC277" s="754"/>
      <c r="AD277" s="754"/>
      <c r="AE277" s="754"/>
      <c r="AF277" s="754"/>
      <c r="AG277" s="754"/>
      <c r="AH277" s="754"/>
      <c r="AI277" s="754"/>
      <c r="AJ277" s="754"/>
      <c r="AK277" s="754"/>
      <c r="AL277" s="754"/>
      <c r="AM277" s="754"/>
      <c r="AN277" s="754"/>
      <c r="AO277" s="754"/>
      <c r="AP277" s="754"/>
      <c r="AQ277" s="754"/>
      <c r="AR277" s="754"/>
      <c r="AS277" s="754"/>
      <c r="AT277" s="754"/>
      <c r="AU277" s="754"/>
      <c r="AV277" s="616"/>
      <c r="AW277" s="616"/>
      <c r="AX277" s="616"/>
      <c r="AY277" s="616"/>
      <c r="AZ277" s="616"/>
    </row>
    <row r="278" spans="2:52" x14ac:dyDescent="0.25">
      <c r="B278" s="606"/>
      <c r="C278" s="607"/>
      <c r="D278" s="608"/>
      <c r="E278" s="698"/>
      <c r="F278" s="698"/>
      <c r="G278" s="609"/>
      <c r="H278" s="610"/>
      <c r="I278" s="611"/>
      <c r="J278" s="698"/>
      <c r="K278" s="698"/>
      <c r="L278" s="606"/>
      <c r="M278" s="607"/>
      <c r="N278" s="611"/>
      <c r="O278" s="612"/>
      <c r="P278" s="613"/>
      <c r="Q278" s="614"/>
      <c r="R278" s="741"/>
      <c r="S278" s="636"/>
      <c r="T278" s="743"/>
      <c r="U278" s="724"/>
      <c r="Y278" s="724"/>
      <c r="Z278" s="724"/>
      <c r="AA278" s="754"/>
      <c r="AB278" s="754"/>
      <c r="AC278" s="754"/>
      <c r="AD278" s="754"/>
      <c r="AE278" s="754"/>
      <c r="AF278" s="754"/>
      <c r="AG278" s="754"/>
      <c r="AH278" s="754"/>
      <c r="AI278" s="754"/>
      <c r="AJ278" s="754"/>
      <c r="AK278" s="754"/>
      <c r="AL278" s="754"/>
      <c r="AM278" s="754"/>
      <c r="AN278" s="754"/>
      <c r="AO278" s="754"/>
      <c r="AP278" s="754"/>
      <c r="AQ278" s="754"/>
      <c r="AR278" s="754"/>
      <c r="AS278" s="754"/>
      <c r="AT278" s="754"/>
      <c r="AU278" s="754"/>
      <c r="AV278" s="616"/>
      <c r="AW278" s="616"/>
      <c r="AX278" s="616"/>
      <c r="AY278" s="616"/>
      <c r="AZ278" s="616"/>
    </row>
    <row r="279" spans="2:52" x14ac:dyDescent="0.25">
      <c r="B279" s="606"/>
      <c r="C279" s="607"/>
      <c r="D279" s="608"/>
      <c r="E279" s="698"/>
      <c r="F279" s="698"/>
      <c r="G279" s="609"/>
      <c r="H279" s="610"/>
      <c r="I279" s="611"/>
      <c r="J279" s="698"/>
      <c r="K279" s="698"/>
      <c r="L279" s="606"/>
      <c r="M279" s="607"/>
      <c r="N279" s="611"/>
      <c r="O279" s="612"/>
      <c r="P279" s="613"/>
      <c r="Q279" s="614"/>
      <c r="R279" s="741"/>
      <c r="S279" s="636"/>
      <c r="T279" s="743"/>
      <c r="U279" s="724"/>
      <c r="Y279" s="724"/>
      <c r="Z279" s="724"/>
      <c r="AA279" s="754"/>
      <c r="AB279" s="754"/>
      <c r="AC279" s="754"/>
      <c r="AD279" s="754"/>
      <c r="AE279" s="754"/>
      <c r="AF279" s="754"/>
      <c r="AG279" s="754"/>
      <c r="AH279" s="754"/>
      <c r="AI279" s="754"/>
      <c r="AJ279" s="754"/>
      <c r="AK279" s="754"/>
      <c r="AL279" s="754"/>
      <c r="AM279" s="754"/>
      <c r="AN279" s="754"/>
      <c r="AO279" s="754"/>
      <c r="AP279" s="754"/>
      <c r="AQ279" s="754"/>
      <c r="AR279" s="754"/>
      <c r="AS279" s="754"/>
      <c r="AT279" s="754"/>
      <c r="AU279" s="754"/>
      <c r="AV279" s="616"/>
      <c r="AW279" s="616"/>
      <c r="AX279" s="616"/>
      <c r="AY279" s="616"/>
      <c r="AZ279" s="616"/>
    </row>
    <row r="280" spans="2:52" x14ac:dyDescent="0.25">
      <c r="B280" s="606"/>
      <c r="C280" s="607"/>
      <c r="D280" s="608"/>
      <c r="E280" s="698"/>
      <c r="F280" s="698"/>
      <c r="G280" s="609"/>
      <c r="H280" s="610"/>
      <c r="I280" s="611"/>
      <c r="J280" s="698"/>
      <c r="K280" s="698"/>
      <c r="L280" s="606"/>
      <c r="M280" s="607"/>
      <c r="N280" s="611"/>
      <c r="O280" s="612"/>
      <c r="P280" s="613"/>
      <c r="Q280" s="614"/>
      <c r="R280" s="741"/>
      <c r="S280" s="636"/>
      <c r="T280" s="743"/>
      <c r="U280" s="724"/>
      <c r="Y280" s="724"/>
      <c r="Z280" s="724"/>
      <c r="AA280" s="754"/>
      <c r="AB280" s="754"/>
      <c r="AC280" s="754"/>
      <c r="AD280" s="754"/>
      <c r="AE280" s="754"/>
      <c r="AF280" s="754"/>
      <c r="AG280" s="754"/>
      <c r="AH280" s="754"/>
      <c r="AI280" s="754"/>
      <c r="AJ280" s="754"/>
      <c r="AK280" s="754"/>
      <c r="AL280" s="754"/>
      <c r="AM280" s="754"/>
      <c r="AN280" s="754"/>
      <c r="AO280" s="754"/>
      <c r="AP280" s="754"/>
      <c r="AQ280" s="754"/>
      <c r="AR280" s="754"/>
      <c r="AS280" s="754"/>
      <c r="AT280" s="754"/>
      <c r="AU280" s="754"/>
      <c r="AV280" s="616"/>
      <c r="AW280" s="616"/>
      <c r="AX280" s="616"/>
      <c r="AY280" s="616"/>
      <c r="AZ280" s="616"/>
    </row>
    <row r="281" spans="2:52" x14ac:dyDescent="0.25">
      <c r="B281" s="606"/>
      <c r="C281" s="607"/>
      <c r="D281" s="608"/>
      <c r="E281" s="698"/>
      <c r="F281" s="698"/>
      <c r="G281" s="609"/>
      <c r="H281" s="610"/>
      <c r="I281" s="611"/>
      <c r="J281" s="698"/>
      <c r="K281" s="698"/>
      <c r="L281" s="606"/>
      <c r="M281" s="607"/>
      <c r="N281" s="611"/>
      <c r="O281" s="612"/>
      <c r="P281" s="613"/>
      <c r="Q281" s="614"/>
      <c r="R281" s="741"/>
      <c r="S281" s="636"/>
      <c r="T281" s="743"/>
      <c r="U281" s="724"/>
      <c r="Y281" s="724"/>
      <c r="Z281" s="724"/>
      <c r="AA281" s="754"/>
      <c r="AB281" s="754"/>
      <c r="AC281" s="754"/>
      <c r="AD281" s="754"/>
      <c r="AE281" s="754"/>
      <c r="AF281" s="754"/>
      <c r="AG281" s="754"/>
      <c r="AH281" s="754"/>
      <c r="AI281" s="754"/>
      <c r="AJ281" s="754"/>
      <c r="AK281" s="754"/>
      <c r="AL281" s="754"/>
      <c r="AM281" s="754"/>
      <c r="AN281" s="754"/>
      <c r="AO281" s="754"/>
      <c r="AP281" s="754"/>
      <c r="AQ281" s="754"/>
      <c r="AR281" s="754"/>
      <c r="AS281" s="754"/>
      <c r="AT281" s="754"/>
      <c r="AU281" s="754"/>
      <c r="AV281" s="616"/>
      <c r="AW281" s="616"/>
      <c r="AX281" s="616"/>
      <c r="AY281" s="616"/>
      <c r="AZ281" s="616"/>
    </row>
    <row r="282" spans="2:52" x14ac:dyDescent="0.25">
      <c r="B282" s="606"/>
      <c r="C282" s="607"/>
      <c r="D282" s="608"/>
      <c r="E282" s="698"/>
      <c r="F282" s="698"/>
      <c r="G282" s="609"/>
      <c r="H282" s="610"/>
      <c r="I282" s="611"/>
      <c r="J282" s="698"/>
      <c r="K282" s="698"/>
      <c r="L282" s="606"/>
      <c r="M282" s="607"/>
      <c r="N282" s="611"/>
      <c r="O282" s="612"/>
      <c r="P282" s="613"/>
      <c r="Q282" s="614"/>
      <c r="R282" s="741"/>
      <c r="S282" s="636"/>
      <c r="T282" s="743"/>
      <c r="U282" s="724"/>
      <c r="Y282" s="724"/>
      <c r="Z282" s="724"/>
      <c r="AA282" s="754"/>
      <c r="AB282" s="754"/>
      <c r="AC282" s="754"/>
      <c r="AD282" s="754"/>
      <c r="AE282" s="754"/>
      <c r="AF282" s="754"/>
      <c r="AG282" s="754"/>
      <c r="AH282" s="754"/>
      <c r="AI282" s="754"/>
      <c r="AJ282" s="754"/>
      <c r="AK282" s="754"/>
      <c r="AL282" s="754"/>
      <c r="AM282" s="754"/>
      <c r="AN282" s="754"/>
      <c r="AO282" s="754"/>
      <c r="AP282" s="754"/>
      <c r="AQ282" s="754"/>
      <c r="AR282" s="754"/>
      <c r="AS282" s="754"/>
      <c r="AT282" s="754"/>
      <c r="AU282" s="754"/>
      <c r="AV282" s="616"/>
      <c r="AW282" s="616"/>
      <c r="AX282" s="616"/>
      <c r="AY282" s="616"/>
      <c r="AZ282" s="616"/>
    </row>
    <row r="283" spans="2:52" x14ac:dyDescent="0.25">
      <c r="B283" s="606"/>
      <c r="C283" s="607"/>
      <c r="D283" s="608"/>
      <c r="E283" s="698"/>
      <c r="F283" s="698"/>
      <c r="G283" s="609"/>
      <c r="H283" s="610"/>
      <c r="I283" s="611"/>
      <c r="J283" s="698"/>
      <c r="K283" s="698"/>
      <c r="L283" s="606"/>
      <c r="M283" s="607"/>
      <c r="N283" s="611"/>
      <c r="O283" s="612"/>
      <c r="P283" s="613"/>
      <c r="Q283" s="614"/>
      <c r="R283" s="741"/>
      <c r="S283" s="636"/>
      <c r="T283" s="743"/>
      <c r="U283" s="724"/>
      <c r="Y283" s="724"/>
      <c r="Z283" s="724"/>
      <c r="AA283" s="754"/>
      <c r="AB283" s="754"/>
      <c r="AC283" s="754"/>
      <c r="AD283" s="754"/>
      <c r="AE283" s="754"/>
      <c r="AF283" s="754"/>
      <c r="AG283" s="754"/>
      <c r="AH283" s="754"/>
      <c r="AI283" s="754"/>
      <c r="AJ283" s="754"/>
      <c r="AK283" s="754"/>
      <c r="AL283" s="754"/>
      <c r="AM283" s="754"/>
      <c r="AN283" s="754"/>
      <c r="AO283" s="754"/>
      <c r="AP283" s="754"/>
      <c r="AQ283" s="754"/>
      <c r="AR283" s="754"/>
      <c r="AS283" s="754"/>
      <c r="AT283" s="754"/>
      <c r="AU283" s="754"/>
      <c r="AV283" s="616"/>
      <c r="AW283" s="616"/>
      <c r="AX283" s="616"/>
      <c r="AY283" s="616"/>
      <c r="AZ283" s="616"/>
    </row>
    <row r="284" spans="2:52" x14ac:dyDescent="0.25">
      <c r="B284" s="606"/>
      <c r="C284" s="607"/>
      <c r="D284" s="608"/>
      <c r="E284" s="698"/>
      <c r="F284" s="698"/>
      <c r="G284" s="609"/>
      <c r="H284" s="610"/>
      <c r="I284" s="611"/>
      <c r="J284" s="698"/>
      <c r="K284" s="698"/>
      <c r="L284" s="606"/>
      <c r="M284" s="607"/>
      <c r="N284" s="611"/>
      <c r="O284" s="612"/>
      <c r="P284" s="613"/>
      <c r="Q284" s="614"/>
      <c r="R284" s="741"/>
      <c r="S284" s="636"/>
      <c r="T284" s="743"/>
      <c r="U284" s="724"/>
      <c r="Y284" s="724"/>
      <c r="Z284" s="724"/>
      <c r="AA284" s="754"/>
      <c r="AB284" s="754"/>
      <c r="AC284" s="754"/>
      <c r="AD284" s="754"/>
      <c r="AE284" s="754"/>
      <c r="AF284" s="754"/>
      <c r="AG284" s="754"/>
      <c r="AH284" s="754"/>
      <c r="AI284" s="754"/>
      <c r="AJ284" s="754"/>
      <c r="AK284" s="754"/>
      <c r="AL284" s="754"/>
      <c r="AM284" s="754"/>
      <c r="AN284" s="754"/>
      <c r="AO284" s="754"/>
      <c r="AP284" s="754"/>
      <c r="AQ284" s="754"/>
      <c r="AR284" s="754"/>
      <c r="AS284" s="754"/>
      <c r="AT284" s="754"/>
      <c r="AU284" s="754"/>
      <c r="AV284" s="616"/>
      <c r="AW284" s="616"/>
      <c r="AX284" s="616"/>
      <c r="AY284" s="616"/>
      <c r="AZ284" s="616"/>
    </row>
    <row r="285" spans="2:52" x14ac:dyDescent="0.25">
      <c r="B285" s="606"/>
      <c r="C285" s="607"/>
      <c r="D285" s="608"/>
      <c r="E285" s="698"/>
      <c r="F285" s="698"/>
      <c r="G285" s="609"/>
      <c r="H285" s="610"/>
      <c r="I285" s="611"/>
      <c r="J285" s="698"/>
      <c r="K285" s="698"/>
      <c r="L285" s="606"/>
      <c r="M285" s="607"/>
      <c r="N285" s="611"/>
      <c r="O285" s="612"/>
      <c r="P285" s="613"/>
      <c r="Q285" s="614"/>
      <c r="R285" s="741"/>
      <c r="S285" s="636"/>
      <c r="T285" s="743"/>
      <c r="U285" s="724"/>
      <c r="Y285" s="724"/>
      <c r="Z285" s="724"/>
      <c r="AA285" s="754"/>
      <c r="AB285" s="754"/>
      <c r="AC285" s="754"/>
      <c r="AD285" s="754"/>
      <c r="AE285" s="754"/>
      <c r="AF285" s="754"/>
      <c r="AG285" s="754"/>
      <c r="AH285" s="754"/>
      <c r="AI285" s="754"/>
      <c r="AJ285" s="754"/>
      <c r="AK285" s="754"/>
      <c r="AL285" s="754"/>
      <c r="AM285" s="754"/>
      <c r="AN285" s="754"/>
      <c r="AO285" s="754"/>
      <c r="AP285" s="754"/>
      <c r="AQ285" s="754"/>
      <c r="AR285" s="754"/>
      <c r="AS285" s="754"/>
      <c r="AT285" s="754"/>
      <c r="AU285" s="754"/>
      <c r="AV285" s="616"/>
      <c r="AW285" s="616"/>
      <c r="AX285" s="616"/>
      <c r="AY285" s="616"/>
      <c r="AZ285" s="616"/>
    </row>
    <row r="286" spans="2:52" x14ac:dyDescent="0.25">
      <c r="B286" s="606"/>
      <c r="C286" s="607"/>
      <c r="D286" s="608"/>
      <c r="E286" s="698"/>
      <c r="F286" s="698"/>
      <c r="G286" s="609"/>
      <c r="H286" s="610"/>
      <c r="I286" s="611"/>
      <c r="J286" s="698"/>
      <c r="K286" s="698"/>
      <c r="L286" s="606"/>
      <c r="M286" s="607"/>
      <c r="N286" s="611"/>
      <c r="O286" s="612"/>
      <c r="P286" s="613"/>
      <c r="Q286" s="614"/>
      <c r="R286" s="741"/>
      <c r="S286" s="636"/>
      <c r="T286" s="743"/>
      <c r="U286" s="724"/>
      <c r="Y286" s="724"/>
      <c r="Z286" s="724"/>
      <c r="AA286" s="754"/>
      <c r="AB286" s="754"/>
      <c r="AC286" s="754"/>
      <c r="AD286" s="754"/>
      <c r="AE286" s="754"/>
      <c r="AF286" s="754"/>
      <c r="AG286" s="754"/>
      <c r="AH286" s="754"/>
      <c r="AI286" s="754"/>
      <c r="AJ286" s="754"/>
      <c r="AK286" s="754"/>
      <c r="AL286" s="754"/>
      <c r="AM286" s="754"/>
      <c r="AN286" s="754"/>
      <c r="AO286" s="754"/>
      <c r="AP286" s="754"/>
      <c r="AQ286" s="754"/>
      <c r="AR286" s="754"/>
      <c r="AS286" s="754"/>
      <c r="AT286" s="754"/>
      <c r="AU286" s="754"/>
      <c r="AV286" s="616"/>
      <c r="AW286" s="616"/>
      <c r="AX286" s="616"/>
      <c r="AY286" s="616"/>
      <c r="AZ286" s="616"/>
    </row>
    <row r="287" spans="2:52" x14ac:dyDescent="0.25">
      <c r="B287" s="606"/>
      <c r="C287" s="607"/>
      <c r="D287" s="608"/>
      <c r="E287" s="698"/>
      <c r="F287" s="698"/>
      <c r="G287" s="609"/>
      <c r="H287" s="610"/>
      <c r="I287" s="611"/>
      <c r="J287" s="698"/>
      <c r="K287" s="698"/>
      <c r="L287" s="606"/>
      <c r="M287" s="607"/>
      <c r="N287" s="611"/>
      <c r="O287" s="612"/>
      <c r="P287" s="613"/>
      <c r="Q287" s="614"/>
      <c r="R287" s="741"/>
      <c r="S287" s="636"/>
      <c r="T287" s="743"/>
      <c r="U287" s="724"/>
      <c r="Y287" s="724"/>
      <c r="Z287" s="724"/>
      <c r="AA287" s="754"/>
      <c r="AB287" s="754"/>
      <c r="AC287" s="754"/>
      <c r="AD287" s="754"/>
      <c r="AE287" s="754"/>
      <c r="AF287" s="754"/>
      <c r="AG287" s="754"/>
      <c r="AH287" s="754"/>
      <c r="AI287" s="754"/>
      <c r="AJ287" s="754"/>
      <c r="AK287" s="754"/>
      <c r="AL287" s="754"/>
      <c r="AM287" s="754"/>
      <c r="AN287" s="754"/>
      <c r="AO287" s="754"/>
      <c r="AP287" s="754"/>
      <c r="AQ287" s="754"/>
      <c r="AR287" s="754"/>
      <c r="AS287" s="754"/>
      <c r="AT287" s="754"/>
      <c r="AU287" s="754"/>
      <c r="AV287" s="616"/>
      <c r="AW287" s="616"/>
      <c r="AX287" s="616"/>
      <c r="AY287" s="616"/>
      <c r="AZ287" s="616"/>
    </row>
    <row r="288" spans="2:52" x14ac:dyDescent="0.25">
      <c r="B288" s="606"/>
      <c r="C288" s="607"/>
      <c r="D288" s="608"/>
      <c r="E288" s="698"/>
      <c r="F288" s="698"/>
      <c r="G288" s="609"/>
      <c r="H288" s="610"/>
      <c r="I288" s="611"/>
      <c r="J288" s="698"/>
      <c r="K288" s="698"/>
      <c r="L288" s="606"/>
      <c r="M288" s="607"/>
      <c r="N288" s="611"/>
      <c r="O288" s="612"/>
      <c r="P288" s="613"/>
      <c r="Q288" s="614"/>
      <c r="R288" s="741"/>
      <c r="S288" s="636"/>
      <c r="T288" s="743"/>
      <c r="U288" s="724"/>
      <c r="Y288" s="724"/>
      <c r="Z288" s="724"/>
      <c r="AA288" s="754"/>
      <c r="AB288" s="754"/>
      <c r="AC288" s="754"/>
      <c r="AD288" s="754"/>
      <c r="AE288" s="754"/>
      <c r="AF288" s="754"/>
      <c r="AG288" s="754"/>
      <c r="AH288" s="754"/>
      <c r="AI288" s="754"/>
      <c r="AJ288" s="754"/>
      <c r="AK288" s="754"/>
      <c r="AL288" s="754"/>
      <c r="AM288" s="754"/>
      <c r="AN288" s="754"/>
      <c r="AO288" s="754"/>
      <c r="AP288" s="754"/>
      <c r="AQ288" s="754"/>
      <c r="AR288" s="754"/>
      <c r="AS288" s="754"/>
      <c r="AT288" s="754"/>
      <c r="AU288" s="754"/>
      <c r="AV288" s="616"/>
      <c r="AW288" s="616"/>
      <c r="AX288" s="616"/>
      <c r="AY288" s="616"/>
      <c r="AZ288" s="616"/>
    </row>
    <row r="289" spans="2:52" x14ac:dyDescent="0.25">
      <c r="B289" s="606"/>
      <c r="C289" s="607"/>
      <c r="D289" s="608"/>
      <c r="E289" s="698"/>
      <c r="F289" s="698"/>
      <c r="G289" s="609"/>
      <c r="H289" s="610"/>
      <c r="I289" s="611"/>
      <c r="J289" s="698"/>
      <c r="K289" s="698"/>
      <c r="L289" s="606"/>
      <c r="M289" s="607"/>
      <c r="N289" s="611"/>
      <c r="O289" s="612"/>
      <c r="P289" s="613"/>
      <c r="Q289" s="614"/>
      <c r="R289" s="741"/>
      <c r="S289" s="636"/>
      <c r="T289" s="743"/>
      <c r="U289" s="724"/>
      <c r="Y289" s="724"/>
      <c r="Z289" s="724"/>
      <c r="AA289" s="754"/>
      <c r="AB289" s="754"/>
      <c r="AC289" s="754"/>
      <c r="AD289" s="754"/>
      <c r="AE289" s="754"/>
      <c r="AF289" s="754"/>
      <c r="AG289" s="754"/>
      <c r="AH289" s="754"/>
      <c r="AI289" s="754"/>
      <c r="AJ289" s="754"/>
      <c r="AK289" s="754"/>
      <c r="AL289" s="754"/>
      <c r="AM289" s="754"/>
      <c r="AN289" s="754"/>
      <c r="AO289" s="754"/>
      <c r="AP289" s="754"/>
      <c r="AQ289" s="754"/>
      <c r="AR289" s="754"/>
      <c r="AS289" s="754"/>
      <c r="AT289" s="754"/>
      <c r="AU289" s="754"/>
      <c r="AV289" s="616"/>
      <c r="AW289" s="616"/>
      <c r="AX289" s="616"/>
      <c r="AY289" s="616"/>
      <c r="AZ289" s="616"/>
    </row>
    <row r="290" spans="2:52" x14ac:dyDescent="0.25">
      <c r="B290" s="606"/>
      <c r="C290" s="607"/>
      <c r="D290" s="608"/>
      <c r="E290" s="698"/>
      <c r="F290" s="698"/>
      <c r="G290" s="609"/>
      <c r="H290" s="610"/>
      <c r="I290" s="611"/>
      <c r="J290" s="698"/>
      <c r="K290" s="698"/>
      <c r="L290" s="606"/>
      <c r="M290" s="607"/>
      <c r="N290" s="611"/>
      <c r="O290" s="612"/>
      <c r="P290" s="613"/>
      <c r="Q290" s="614"/>
      <c r="R290" s="741"/>
      <c r="S290" s="636"/>
      <c r="T290" s="743"/>
      <c r="U290" s="724"/>
      <c r="Y290" s="724"/>
      <c r="Z290" s="724"/>
      <c r="AA290" s="754"/>
      <c r="AB290" s="754"/>
      <c r="AC290" s="754"/>
      <c r="AD290" s="754"/>
      <c r="AE290" s="754"/>
      <c r="AF290" s="754"/>
      <c r="AG290" s="754"/>
      <c r="AH290" s="754"/>
      <c r="AI290" s="754"/>
      <c r="AJ290" s="754"/>
      <c r="AK290" s="754"/>
      <c r="AL290" s="754"/>
      <c r="AM290" s="754"/>
      <c r="AN290" s="754"/>
      <c r="AO290" s="754"/>
      <c r="AP290" s="754"/>
      <c r="AQ290" s="754"/>
      <c r="AR290" s="754"/>
      <c r="AS290" s="754"/>
      <c r="AT290" s="754"/>
      <c r="AU290" s="754"/>
      <c r="AV290" s="616"/>
      <c r="AW290" s="616"/>
      <c r="AX290" s="616"/>
      <c r="AY290" s="616"/>
      <c r="AZ290" s="616"/>
    </row>
    <row r="291" spans="2:52" x14ac:dyDescent="0.25">
      <c r="B291" s="606"/>
      <c r="C291" s="607"/>
      <c r="D291" s="608"/>
      <c r="E291" s="698"/>
      <c r="F291" s="698"/>
      <c r="G291" s="609"/>
      <c r="H291" s="610"/>
      <c r="I291" s="611"/>
      <c r="J291" s="698"/>
      <c r="K291" s="698"/>
      <c r="L291" s="606"/>
      <c r="M291" s="607"/>
      <c r="N291" s="611"/>
      <c r="O291" s="612"/>
      <c r="P291" s="613"/>
      <c r="Q291" s="614"/>
      <c r="R291" s="741"/>
      <c r="S291" s="636"/>
      <c r="T291" s="743"/>
      <c r="U291" s="724"/>
      <c r="Y291" s="724"/>
      <c r="Z291" s="724"/>
      <c r="AA291" s="754"/>
      <c r="AB291" s="754"/>
      <c r="AC291" s="754"/>
      <c r="AD291" s="754"/>
      <c r="AE291" s="754"/>
      <c r="AF291" s="754"/>
      <c r="AG291" s="754"/>
      <c r="AH291" s="754"/>
      <c r="AI291" s="754"/>
      <c r="AJ291" s="754"/>
      <c r="AK291" s="754"/>
      <c r="AL291" s="754"/>
      <c r="AM291" s="754"/>
      <c r="AN291" s="754"/>
      <c r="AO291" s="754"/>
      <c r="AP291" s="754"/>
      <c r="AQ291" s="754"/>
      <c r="AR291" s="754"/>
      <c r="AS291" s="754"/>
      <c r="AT291" s="754"/>
      <c r="AU291" s="754"/>
      <c r="AV291" s="616"/>
      <c r="AW291" s="616"/>
      <c r="AX291" s="616"/>
      <c r="AY291" s="616"/>
      <c r="AZ291" s="616"/>
    </row>
    <row r="292" spans="2:52" x14ac:dyDescent="0.25">
      <c r="B292" s="606"/>
      <c r="C292" s="607"/>
      <c r="D292" s="608"/>
      <c r="E292" s="698"/>
      <c r="F292" s="698"/>
      <c r="G292" s="609"/>
      <c r="H292" s="610"/>
      <c r="I292" s="611"/>
      <c r="J292" s="698"/>
      <c r="K292" s="698"/>
      <c r="L292" s="606"/>
      <c r="M292" s="607"/>
      <c r="N292" s="611"/>
      <c r="O292" s="612"/>
      <c r="P292" s="613"/>
      <c r="Q292" s="614"/>
      <c r="R292" s="741"/>
      <c r="S292" s="636"/>
      <c r="T292" s="743"/>
      <c r="U292" s="724"/>
      <c r="Y292" s="724"/>
      <c r="Z292" s="724"/>
      <c r="AA292" s="754"/>
      <c r="AB292" s="754"/>
      <c r="AC292" s="754"/>
      <c r="AD292" s="754"/>
      <c r="AE292" s="754"/>
      <c r="AF292" s="754"/>
      <c r="AG292" s="754"/>
      <c r="AH292" s="754"/>
      <c r="AI292" s="754"/>
      <c r="AJ292" s="754"/>
      <c r="AK292" s="754"/>
      <c r="AL292" s="754"/>
      <c r="AM292" s="754"/>
      <c r="AN292" s="754"/>
      <c r="AO292" s="754"/>
      <c r="AP292" s="754"/>
      <c r="AQ292" s="754"/>
      <c r="AR292" s="754"/>
      <c r="AS292" s="754"/>
      <c r="AT292" s="754"/>
      <c r="AU292" s="754"/>
      <c r="AV292" s="616"/>
      <c r="AW292" s="616"/>
      <c r="AX292" s="616"/>
      <c r="AY292" s="616"/>
      <c r="AZ292" s="616"/>
    </row>
    <row r="293" spans="2:52" x14ac:dyDescent="0.25">
      <c r="B293" s="606"/>
      <c r="C293" s="607"/>
      <c r="D293" s="608"/>
      <c r="E293" s="698"/>
      <c r="F293" s="698"/>
      <c r="G293" s="609"/>
      <c r="H293" s="610"/>
      <c r="I293" s="611"/>
      <c r="J293" s="698"/>
      <c r="K293" s="698"/>
      <c r="L293" s="606"/>
      <c r="M293" s="607"/>
      <c r="N293" s="611"/>
      <c r="O293" s="612"/>
      <c r="P293" s="613"/>
      <c r="Q293" s="614"/>
      <c r="R293" s="741"/>
      <c r="S293" s="636"/>
      <c r="T293" s="743"/>
      <c r="U293" s="724"/>
      <c r="Y293" s="724"/>
      <c r="Z293" s="724"/>
      <c r="AA293" s="754"/>
      <c r="AB293" s="754"/>
      <c r="AC293" s="754"/>
      <c r="AD293" s="754"/>
      <c r="AE293" s="754"/>
      <c r="AF293" s="754"/>
      <c r="AG293" s="754"/>
      <c r="AH293" s="754"/>
      <c r="AI293" s="754"/>
      <c r="AJ293" s="754"/>
      <c r="AK293" s="754"/>
      <c r="AL293" s="754"/>
      <c r="AM293" s="754"/>
      <c r="AN293" s="754"/>
      <c r="AO293" s="754"/>
      <c r="AP293" s="754"/>
      <c r="AQ293" s="754"/>
      <c r="AR293" s="754"/>
      <c r="AS293" s="754"/>
      <c r="AT293" s="754"/>
      <c r="AU293" s="754"/>
      <c r="AV293" s="616"/>
      <c r="AW293" s="616"/>
      <c r="AX293" s="616"/>
      <c r="AY293" s="616"/>
      <c r="AZ293" s="616"/>
    </row>
    <row r="294" spans="2:52" x14ac:dyDescent="0.25">
      <c r="B294" s="606"/>
      <c r="C294" s="607"/>
      <c r="D294" s="608"/>
      <c r="E294" s="698"/>
      <c r="F294" s="698"/>
      <c r="G294" s="609"/>
      <c r="H294" s="610"/>
      <c r="I294" s="611"/>
      <c r="J294" s="698"/>
      <c r="K294" s="698"/>
      <c r="L294" s="606"/>
      <c r="M294" s="607"/>
      <c r="N294" s="611"/>
      <c r="O294" s="612"/>
      <c r="P294" s="613"/>
      <c r="Q294" s="614"/>
      <c r="R294" s="741"/>
      <c r="S294" s="636"/>
      <c r="T294" s="743"/>
      <c r="U294" s="724"/>
      <c r="Y294" s="724"/>
      <c r="Z294" s="724"/>
      <c r="AA294" s="754"/>
      <c r="AB294" s="754"/>
      <c r="AC294" s="754"/>
      <c r="AD294" s="754"/>
      <c r="AE294" s="754"/>
      <c r="AF294" s="754"/>
      <c r="AG294" s="754"/>
      <c r="AH294" s="754"/>
      <c r="AI294" s="754"/>
      <c r="AJ294" s="754"/>
      <c r="AK294" s="754"/>
      <c r="AL294" s="754"/>
      <c r="AM294" s="754"/>
      <c r="AN294" s="754"/>
      <c r="AO294" s="754"/>
      <c r="AP294" s="754"/>
      <c r="AQ294" s="754"/>
      <c r="AR294" s="754"/>
      <c r="AS294" s="754"/>
      <c r="AT294" s="754"/>
      <c r="AU294" s="754"/>
      <c r="AV294" s="616"/>
      <c r="AW294" s="616"/>
      <c r="AX294" s="616"/>
      <c r="AY294" s="616"/>
      <c r="AZ294" s="616"/>
    </row>
    <row r="295" spans="2:52" x14ac:dyDescent="0.25">
      <c r="B295" s="606"/>
      <c r="C295" s="607"/>
      <c r="D295" s="608"/>
      <c r="E295" s="698"/>
      <c r="F295" s="698"/>
      <c r="G295" s="609"/>
      <c r="H295" s="610"/>
      <c r="I295" s="611"/>
      <c r="J295" s="698"/>
      <c r="K295" s="698"/>
      <c r="L295" s="606"/>
      <c r="M295" s="607"/>
      <c r="N295" s="611"/>
      <c r="O295" s="612"/>
      <c r="P295" s="613"/>
      <c r="Q295" s="614"/>
      <c r="R295" s="741"/>
      <c r="S295" s="636"/>
      <c r="T295" s="743"/>
      <c r="U295" s="724"/>
      <c r="Y295" s="724"/>
      <c r="Z295" s="724"/>
      <c r="AA295" s="754"/>
      <c r="AB295" s="754"/>
      <c r="AC295" s="754"/>
      <c r="AD295" s="754"/>
      <c r="AE295" s="754"/>
      <c r="AF295" s="754"/>
      <c r="AG295" s="754"/>
      <c r="AH295" s="754"/>
      <c r="AI295" s="754"/>
      <c r="AJ295" s="754"/>
      <c r="AK295" s="754"/>
      <c r="AL295" s="754"/>
      <c r="AM295" s="754"/>
      <c r="AN295" s="754"/>
      <c r="AO295" s="754"/>
      <c r="AP295" s="754"/>
      <c r="AQ295" s="754"/>
      <c r="AR295" s="754"/>
      <c r="AS295" s="754"/>
      <c r="AT295" s="754"/>
      <c r="AU295" s="754"/>
      <c r="AV295" s="616"/>
      <c r="AW295" s="616"/>
      <c r="AX295" s="616"/>
      <c r="AY295" s="616"/>
      <c r="AZ295" s="616"/>
    </row>
    <row r="296" spans="2:52" x14ac:dyDescent="0.25">
      <c r="B296" s="606"/>
      <c r="C296" s="607"/>
      <c r="D296" s="608"/>
      <c r="E296" s="698"/>
      <c r="F296" s="698"/>
      <c r="G296" s="609"/>
      <c r="H296" s="610"/>
      <c r="I296" s="611"/>
      <c r="J296" s="698"/>
      <c r="K296" s="698"/>
      <c r="L296" s="606"/>
      <c r="M296" s="607"/>
      <c r="N296" s="611"/>
      <c r="O296" s="612"/>
      <c r="P296" s="613"/>
      <c r="Q296" s="614"/>
      <c r="R296" s="741"/>
      <c r="S296" s="636"/>
      <c r="T296" s="743"/>
      <c r="U296" s="724"/>
      <c r="Y296" s="724"/>
      <c r="Z296" s="724"/>
      <c r="AA296" s="754"/>
      <c r="AB296" s="754"/>
      <c r="AC296" s="754"/>
      <c r="AD296" s="754"/>
      <c r="AE296" s="754"/>
      <c r="AF296" s="754"/>
      <c r="AG296" s="754"/>
      <c r="AH296" s="754"/>
      <c r="AI296" s="754"/>
      <c r="AJ296" s="754"/>
      <c r="AK296" s="754"/>
      <c r="AL296" s="754"/>
      <c r="AM296" s="754"/>
      <c r="AN296" s="754"/>
      <c r="AO296" s="754"/>
      <c r="AP296" s="754"/>
      <c r="AQ296" s="754"/>
      <c r="AR296" s="754"/>
      <c r="AS296" s="754"/>
      <c r="AT296" s="754"/>
      <c r="AU296" s="754"/>
      <c r="AV296" s="616"/>
      <c r="AW296" s="616"/>
      <c r="AX296" s="616"/>
      <c r="AY296" s="616"/>
      <c r="AZ296" s="616"/>
    </row>
    <row r="297" spans="2:52" x14ac:dyDescent="0.25">
      <c r="B297" s="606"/>
      <c r="C297" s="607"/>
      <c r="D297" s="608"/>
      <c r="E297" s="698"/>
      <c r="F297" s="698"/>
      <c r="G297" s="609"/>
      <c r="H297" s="610"/>
      <c r="I297" s="611"/>
      <c r="J297" s="698"/>
      <c r="K297" s="698"/>
      <c r="L297" s="606"/>
      <c r="M297" s="607"/>
      <c r="N297" s="611"/>
      <c r="O297" s="612"/>
      <c r="P297" s="613"/>
      <c r="Q297" s="614"/>
      <c r="R297" s="741"/>
      <c r="S297" s="636"/>
      <c r="T297" s="743"/>
      <c r="U297" s="724"/>
      <c r="Y297" s="724"/>
      <c r="Z297" s="724"/>
      <c r="AA297" s="754"/>
      <c r="AB297" s="754"/>
      <c r="AC297" s="754"/>
      <c r="AD297" s="754"/>
      <c r="AE297" s="754"/>
      <c r="AF297" s="754"/>
      <c r="AG297" s="754"/>
      <c r="AH297" s="754"/>
      <c r="AI297" s="754"/>
      <c r="AJ297" s="754"/>
      <c r="AK297" s="754"/>
      <c r="AL297" s="754"/>
      <c r="AM297" s="754"/>
      <c r="AN297" s="754"/>
      <c r="AO297" s="754"/>
      <c r="AP297" s="754"/>
      <c r="AQ297" s="754"/>
      <c r="AR297" s="754"/>
      <c r="AS297" s="754"/>
      <c r="AT297" s="754"/>
      <c r="AU297" s="754"/>
      <c r="AV297" s="616"/>
      <c r="AW297" s="616"/>
      <c r="AX297" s="616"/>
      <c r="AY297" s="616"/>
      <c r="AZ297" s="616"/>
    </row>
    <row r="298" spans="2:52" x14ac:dyDescent="0.25">
      <c r="B298" s="606"/>
      <c r="C298" s="607"/>
      <c r="D298" s="608"/>
      <c r="E298" s="698"/>
      <c r="F298" s="698"/>
      <c r="G298" s="609"/>
      <c r="H298" s="610"/>
      <c r="I298" s="611"/>
      <c r="J298" s="698"/>
      <c r="K298" s="698"/>
      <c r="L298" s="606"/>
      <c r="M298" s="607"/>
      <c r="N298" s="611"/>
      <c r="O298" s="612"/>
      <c r="P298" s="613"/>
      <c r="Q298" s="614"/>
      <c r="R298" s="741"/>
      <c r="S298" s="636"/>
      <c r="T298" s="743"/>
      <c r="U298" s="724"/>
      <c r="Y298" s="724"/>
      <c r="Z298" s="724"/>
      <c r="AA298" s="754"/>
      <c r="AB298" s="754"/>
      <c r="AC298" s="754"/>
      <c r="AD298" s="754"/>
      <c r="AE298" s="754"/>
      <c r="AF298" s="754"/>
      <c r="AG298" s="754"/>
      <c r="AH298" s="754"/>
      <c r="AI298" s="754"/>
      <c r="AJ298" s="754"/>
      <c r="AK298" s="754"/>
      <c r="AL298" s="754"/>
      <c r="AM298" s="754"/>
      <c r="AN298" s="754"/>
      <c r="AO298" s="754"/>
      <c r="AP298" s="754"/>
      <c r="AQ298" s="754"/>
      <c r="AR298" s="754"/>
      <c r="AS298" s="754"/>
      <c r="AT298" s="754"/>
      <c r="AU298" s="754"/>
      <c r="AV298" s="616"/>
      <c r="AW298" s="616"/>
      <c r="AX298" s="616"/>
      <c r="AY298" s="616"/>
      <c r="AZ298" s="616"/>
    </row>
    <row r="299" spans="2:52" x14ac:dyDescent="0.25">
      <c r="B299" s="606"/>
      <c r="C299" s="607"/>
      <c r="D299" s="608"/>
      <c r="E299" s="698"/>
      <c r="F299" s="698"/>
      <c r="G299" s="609"/>
      <c r="H299" s="610"/>
      <c r="I299" s="611"/>
      <c r="J299" s="698"/>
      <c r="K299" s="698"/>
      <c r="L299" s="606"/>
      <c r="M299" s="607"/>
      <c r="N299" s="611"/>
      <c r="O299" s="612"/>
      <c r="P299" s="613"/>
      <c r="Q299" s="614"/>
      <c r="R299" s="741"/>
      <c r="S299" s="636"/>
      <c r="T299" s="743"/>
      <c r="U299" s="724"/>
      <c r="Y299" s="724"/>
      <c r="Z299" s="724"/>
      <c r="AA299" s="754"/>
      <c r="AB299" s="754"/>
      <c r="AC299" s="754"/>
      <c r="AD299" s="754"/>
      <c r="AE299" s="754"/>
      <c r="AF299" s="754"/>
      <c r="AG299" s="754"/>
      <c r="AH299" s="754"/>
      <c r="AI299" s="754"/>
      <c r="AJ299" s="754"/>
      <c r="AK299" s="754"/>
      <c r="AL299" s="754"/>
      <c r="AM299" s="754"/>
      <c r="AN299" s="754"/>
      <c r="AO299" s="754"/>
      <c r="AP299" s="754"/>
      <c r="AQ299" s="754"/>
      <c r="AR299" s="754"/>
      <c r="AS299" s="754"/>
      <c r="AT299" s="754"/>
      <c r="AU299" s="754"/>
      <c r="AV299" s="616"/>
      <c r="AW299" s="616"/>
      <c r="AX299" s="616"/>
      <c r="AY299" s="616"/>
      <c r="AZ299" s="616"/>
    </row>
    <row r="300" spans="2:52" x14ac:dyDescent="0.25">
      <c r="B300" s="606"/>
      <c r="C300" s="607"/>
      <c r="D300" s="608"/>
      <c r="E300" s="698"/>
      <c r="F300" s="698"/>
      <c r="G300" s="609"/>
      <c r="H300" s="610"/>
      <c r="I300" s="611"/>
      <c r="J300" s="698"/>
      <c r="K300" s="698"/>
      <c r="L300" s="606"/>
      <c r="M300" s="607"/>
      <c r="N300" s="611"/>
      <c r="O300" s="612"/>
      <c r="P300" s="613"/>
      <c r="Q300" s="614"/>
      <c r="R300" s="741"/>
      <c r="S300" s="636"/>
      <c r="T300" s="743"/>
      <c r="U300" s="724"/>
      <c r="Y300" s="724"/>
      <c r="Z300" s="724"/>
      <c r="AA300" s="754"/>
      <c r="AB300" s="754"/>
      <c r="AC300" s="754"/>
      <c r="AD300" s="754"/>
      <c r="AE300" s="754"/>
      <c r="AF300" s="754"/>
      <c r="AG300" s="754"/>
      <c r="AH300" s="754"/>
      <c r="AI300" s="754"/>
      <c r="AJ300" s="754"/>
      <c r="AK300" s="754"/>
      <c r="AL300" s="754"/>
      <c r="AM300" s="754"/>
      <c r="AN300" s="754"/>
      <c r="AO300" s="754"/>
      <c r="AP300" s="754"/>
      <c r="AQ300" s="754"/>
      <c r="AR300" s="754"/>
      <c r="AS300" s="754"/>
      <c r="AT300" s="754"/>
      <c r="AU300" s="754"/>
      <c r="AV300" s="616"/>
      <c r="AW300" s="616"/>
      <c r="AX300" s="616"/>
      <c r="AY300" s="616"/>
      <c r="AZ300" s="616"/>
    </row>
    <row r="301" spans="2:52" x14ac:dyDescent="0.25">
      <c r="B301" s="606"/>
      <c r="C301" s="607"/>
      <c r="D301" s="608"/>
      <c r="E301" s="698"/>
      <c r="F301" s="698"/>
      <c r="G301" s="609"/>
      <c r="H301" s="610"/>
      <c r="I301" s="611"/>
      <c r="J301" s="698"/>
      <c r="K301" s="698"/>
      <c r="L301" s="606"/>
      <c r="M301" s="607"/>
      <c r="N301" s="611"/>
      <c r="O301" s="612"/>
      <c r="P301" s="613"/>
      <c r="Q301" s="614"/>
      <c r="R301" s="741"/>
      <c r="S301" s="636"/>
      <c r="T301" s="743"/>
      <c r="U301" s="724"/>
      <c r="Y301" s="724"/>
      <c r="Z301" s="724"/>
      <c r="AA301" s="754"/>
      <c r="AB301" s="754"/>
      <c r="AC301" s="754"/>
      <c r="AD301" s="754"/>
      <c r="AE301" s="754"/>
      <c r="AF301" s="754"/>
      <c r="AG301" s="754"/>
      <c r="AH301" s="754"/>
      <c r="AI301" s="754"/>
      <c r="AJ301" s="754"/>
      <c r="AK301" s="754"/>
      <c r="AL301" s="754"/>
      <c r="AM301" s="754"/>
      <c r="AN301" s="754"/>
      <c r="AO301" s="754"/>
      <c r="AP301" s="754"/>
      <c r="AQ301" s="754"/>
      <c r="AR301" s="754"/>
      <c r="AS301" s="754"/>
      <c r="AT301" s="754"/>
      <c r="AU301" s="754"/>
      <c r="AV301" s="616"/>
      <c r="AW301" s="616"/>
      <c r="AX301" s="616"/>
      <c r="AY301" s="616"/>
      <c r="AZ301" s="616"/>
    </row>
    <row r="302" spans="2:52" x14ac:dyDescent="0.25">
      <c r="B302" s="606"/>
      <c r="C302" s="607"/>
      <c r="D302" s="608"/>
      <c r="E302" s="698"/>
      <c r="F302" s="698"/>
      <c r="G302" s="609"/>
      <c r="H302" s="610"/>
      <c r="I302" s="611"/>
      <c r="J302" s="698"/>
      <c r="K302" s="698"/>
      <c r="L302" s="606"/>
      <c r="M302" s="607"/>
      <c r="N302" s="611"/>
      <c r="O302" s="612"/>
      <c r="P302" s="613"/>
      <c r="Q302" s="614"/>
      <c r="R302" s="741"/>
      <c r="S302" s="636"/>
      <c r="T302" s="743"/>
      <c r="U302" s="724"/>
      <c r="Y302" s="724"/>
      <c r="Z302" s="724"/>
      <c r="AA302" s="754"/>
      <c r="AB302" s="754"/>
      <c r="AC302" s="754"/>
      <c r="AD302" s="754"/>
      <c r="AE302" s="754"/>
      <c r="AF302" s="754"/>
      <c r="AG302" s="754"/>
      <c r="AH302" s="754"/>
      <c r="AI302" s="754"/>
      <c r="AJ302" s="754"/>
      <c r="AK302" s="754"/>
      <c r="AL302" s="754"/>
      <c r="AM302" s="754"/>
      <c r="AN302" s="754"/>
      <c r="AO302" s="754"/>
      <c r="AP302" s="754"/>
      <c r="AQ302" s="754"/>
      <c r="AR302" s="754"/>
      <c r="AS302" s="754"/>
      <c r="AT302" s="754"/>
      <c r="AU302" s="754"/>
      <c r="AV302" s="616"/>
      <c r="AW302" s="616"/>
      <c r="AX302" s="616"/>
      <c r="AY302" s="616"/>
      <c r="AZ302" s="616"/>
    </row>
    <row r="303" spans="2:52" x14ac:dyDescent="0.25">
      <c r="B303" s="606"/>
      <c r="C303" s="607"/>
      <c r="D303" s="608"/>
      <c r="E303" s="698"/>
      <c r="F303" s="698"/>
      <c r="G303" s="609"/>
      <c r="H303" s="610"/>
      <c r="I303" s="611"/>
      <c r="J303" s="698"/>
      <c r="K303" s="698"/>
      <c r="L303" s="606"/>
      <c r="M303" s="607"/>
      <c r="N303" s="611"/>
      <c r="O303" s="612"/>
      <c r="P303" s="613"/>
      <c r="Q303" s="614"/>
      <c r="R303" s="741"/>
      <c r="S303" s="636"/>
      <c r="T303" s="743"/>
      <c r="U303" s="724"/>
      <c r="Y303" s="724"/>
      <c r="Z303" s="724"/>
      <c r="AA303" s="754"/>
      <c r="AB303" s="754"/>
      <c r="AC303" s="754"/>
      <c r="AD303" s="754"/>
      <c r="AE303" s="754"/>
      <c r="AF303" s="754"/>
      <c r="AG303" s="754"/>
      <c r="AH303" s="754"/>
      <c r="AI303" s="754"/>
      <c r="AJ303" s="754"/>
      <c r="AK303" s="754"/>
      <c r="AL303" s="754"/>
      <c r="AM303" s="754"/>
      <c r="AN303" s="754"/>
      <c r="AO303" s="754"/>
      <c r="AP303" s="754"/>
      <c r="AQ303" s="754"/>
      <c r="AR303" s="754"/>
      <c r="AS303" s="754"/>
      <c r="AT303" s="754"/>
      <c r="AU303" s="754"/>
      <c r="AV303" s="616"/>
      <c r="AW303" s="616"/>
      <c r="AX303" s="616"/>
      <c r="AY303" s="616"/>
      <c r="AZ303" s="616"/>
    </row>
    <row r="304" spans="2:52" x14ac:dyDescent="0.25">
      <c r="B304" s="606"/>
      <c r="C304" s="607"/>
      <c r="D304" s="608"/>
      <c r="E304" s="698"/>
      <c r="F304" s="698"/>
      <c r="G304" s="609"/>
      <c r="H304" s="610"/>
      <c r="I304" s="611"/>
      <c r="J304" s="698"/>
      <c r="K304" s="698"/>
      <c r="L304" s="606"/>
      <c r="M304" s="607"/>
      <c r="N304" s="611"/>
      <c r="O304" s="612"/>
      <c r="P304" s="613"/>
      <c r="Q304" s="614"/>
      <c r="R304" s="741"/>
      <c r="S304" s="636"/>
      <c r="T304" s="743"/>
      <c r="U304" s="724"/>
      <c r="Y304" s="724"/>
      <c r="Z304" s="724"/>
      <c r="AA304" s="754"/>
      <c r="AB304" s="754"/>
      <c r="AC304" s="754"/>
      <c r="AD304" s="754"/>
      <c r="AE304" s="754"/>
      <c r="AF304" s="754"/>
      <c r="AG304" s="754"/>
      <c r="AH304" s="754"/>
      <c r="AI304" s="754"/>
      <c r="AJ304" s="754"/>
      <c r="AK304" s="754"/>
      <c r="AL304" s="754"/>
      <c r="AM304" s="754"/>
      <c r="AN304" s="754"/>
      <c r="AO304" s="754"/>
      <c r="AP304" s="754"/>
      <c r="AQ304" s="754"/>
      <c r="AR304" s="754"/>
      <c r="AS304" s="754"/>
      <c r="AT304" s="754"/>
      <c r="AU304" s="754"/>
      <c r="AV304" s="616"/>
      <c r="AW304" s="616"/>
      <c r="AX304" s="616"/>
      <c r="AY304" s="616"/>
      <c r="AZ304" s="616"/>
    </row>
    <row r="305" spans="2:52" x14ac:dyDescent="0.25">
      <c r="B305" s="606"/>
      <c r="C305" s="607"/>
      <c r="D305" s="608"/>
      <c r="E305" s="698"/>
      <c r="F305" s="698"/>
      <c r="G305" s="609"/>
      <c r="H305" s="610"/>
      <c r="I305" s="611"/>
      <c r="J305" s="698"/>
      <c r="K305" s="698"/>
      <c r="L305" s="606"/>
      <c r="M305" s="607"/>
      <c r="N305" s="611"/>
      <c r="O305" s="612"/>
      <c r="P305" s="613"/>
      <c r="Q305" s="614"/>
      <c r="R305" s="741"/>
      <c r="S305" s="636"/>
      <c r="T305" s="743"/>
      <c r="U305" s="724"/>
      <c r="Y305" s="724"/>
      <c r="Z305" s="724"/>
      <c r="AA305" s="754"/>
      <c r="AB305" s="754"/>
      <c r="AC305" s="754"/>
      <c r="AD305" s="754"/>
      <c r="AE305" s="754"/>
      <c r="AF305" s="754"/>
      <c r="AG305" s="754"/>
      <c r="AH305" s="754"/>
      <c r="AI305" s="754"/>
      <c r="AJ305" s="754"/>
      <c r="AK305" s="754"/>
      <c r="AL305" s="754"/>
      <c r="AM305" s="754"/>
      <c r="AN305" s="754"/>
      <c r="AO305" s="754"/>
      <c r="AP305" s="754"/>
      <c r="AQ305" s="754"/>
      <c r="AR305" s="754"/>
      <c r="AS305" s="754"/>
      <c r="AT305" s="754"/>
      <c r="AU305" s="754"/>
      <c r="AV305" s="616"/>
      <c r="AW305" s="616"/>
      <c r="AX305" s="616"/>
      <c r="AY305" s="616"/>
      <c r="AZ305" s="616"/>
    </row>
    <row r="306" spans="2:52" x14ac:dyDescent="0.25">
      <c r="B306" s="606"/>
      <c r="C306" s="607"/>
      <c r="D306" s="608"/>
      <c r="E306" s="698"/>
      <c r="F306" s="698"/>
      <c r="G306" s="609"/>
      <c r="H306" s="610"/>
      <c r="I306" s="611"/>
      <c r="J306" s="698"/>
      <c r="K306" s="698"/>
      <c r="L306" s="606"/>
      <c r="M306" s="607"/>
      <c r="N306" s="611"/>
      <c r="O306" s="612"/>
      <c r="P306" s="613"/>
      <c r="Q306" s="614"/>
      <c r="R306" s="741"/>
      <c r="S306" s="636"/>
      <c r="T306" s="743"/>
      <c r="U306" s="724"/>
      <c r="Y306" s="724"/>
      <c r="Z306" s="724"/>
      <c r="AA306" s="754"/>
      <c r="AB306" s="754"/>
      <c r="AC306" s="754"/>
      <c r="AD306" s="754"/>
      <c r="AE306" s="754"/>
      <c r="AF306" s="754"/>
      <c r="AG306" s="754"/>
      <c r="AH306" s="754"/>
      <c r="AI306" s="754"/>
      <c r="AJ306" s="754"/>
      <c r="AK306" s="754"/>
      <c r="AL306" s="754"/>
      <c r="AM306" s="754"/>
      <c r="AN306" s="754"/>
      <c r="AO306" s="754"/>
      <c r="AP306" s="754"/>
      <c r="AQ306" s="754"/>
      <c r="AR306" s="754"/>
      <c r="AS306" s="754"/>
      <c r="AT306" s="754"/>
      <c r="AU306" s="754"/>
      <c r="AV306" s="616"/>
      <c r="AW306" s="616"/>
      <c r="AX306" s="616"/>
      <c r="AY306" s="616"/>
      <c r="AZ306" s="616"/>
    </row>
    <row r="307" spans="2:52" x14ac:dyDescent="0.25">
      <c r="B307" s="606"/>
      <c r="C307" s="607"/>
      <c r="D307" s="608"/>
      <c r="E307" s="698"/>
      <c r="F307" s="698"/>
      <c r="G307" s="609"/>
      <c r="H307" s="610"/>
      <c r="I307" s="611"/>
      <c r="J307" s="698"/>
      <c r="K307" s="698"/>
      <c r="L307" s="606"/>
      <c r="M307" s="607"/>
      <c r="N307" s="611"/>
      <c r="O307" s="612"/>
      <c r="P307" s="613"/>
      <c r="Q307" s="614"/>
      <c r="R307" s="741"/>
      <c r="S307" s="636"/>
      <c r="T307" s="743"/>
      <c r="U307" s="724"/>
      <c r="Y307" s="724"/>
      <c r="Z307" s="724"/>
      <c r="AA307" s="754"/>
      <c r="AB307" s="754"/>
      <c r="AC307" s="754"/>
      <c r="AD307" s="754"/>
      <c r="AE307" s="754"/>
      <c r="AF307" s="754"/>
      <c r="AG307" s="754"/>
      <c r="AH307" s="754"/>
      <c r="AI307" s="754"/>
      <c r="AJ307" s="754"/>
      <c r="AK307" s="754"/>
      <c r="AL307" s="754"/>
      <c r="AM307" s="754"/>
      <c r="AN307" s="754"/>
      <c r="AO307" s="754"/>
      <c r="AP307" s="754"/>
      <c r="AQ307" s="754"/>
      <c r="AR307" s="754"/>
      <c r="AS307" s="754"/>
      <c r="AT307" s="754"/>
      <c r="AU307" s="754"/>
      <c r="AV307" s="616"/>
      <c r="AW307" s="616"/>
      <c r="AX307" s="616"/>
      <c r="AY307" s="616"/>
      <c r="AZ307" s="616"/>
    </row>
    <row r="308" spans="2:52" x14ac:dyDescent="0.25">
      <c r="B308" s="606"/>
      <c r="C308" s="607"/>
      <c r="D308" s="608"/>
      <c r="E308" s="698"/>
      <c r="F308" s="698"/>
      <c r="G308" s="609"/>
      <c r="H308" s="610"/>
      <c r="I308" s="611"/>
      <c r="J308" s="698"/>
      <c r="K308" s="698"/>
      <c r="L308" s="606"/>
      <c r="M308" s="607"/>
      <c r="N308" s="611"/>
      <c r="O308" s="612"/>
      <c r="P308" s="613"/>
      <c r="Q308" s="614"/>
      <c r="R308" s="741"/>
      <c r="S308" s="636"/>
      <c r="T308" s="743"/>
      <c r="U308" s="724"/>
      <c r="Y308" s="724"/>
      <c r="Z308" s="724"/>
      <c r="AA308" s="754"/>
      <c r="AB308" s="754"/>
      <c r="AC308" s="754"/>
      <c r="AD308" s="754"/>
      <c r="AE308" s="754"/>
      <c r="AF308" s="754"/>
      <c r="AG308" s="754"/>
      <c r="AH308" s="754"/>
      <c r="AI308" s="754"/>
      <c r="AJ308" s="754"/>
      <c r="AK308" s="754"/>
      <c r="AL308" s="754"/>
      <c r="AM308" s="754"/>
      <c r="AN308" s="754"/>
      <c r="AO308" s="754"/>
      <c r="AP308" s="754"/>
      <c r="AQ308" s="754"/>
      <c r="AR308" s="754"/>
      <c r="AS308" s="754"/>
      <c r="AT308" s="754"/>
      <c r="AU308" s="754"/>
      <c r="AV308" s="616"/>
      <c r="AW308" s="616"/>
      <c r="AX308" s="616"/>
      <c r="AY308" s="616"/>
      <c r="AZ308" s="616"/>
    </row>
    <row r="309" spans="2:52" x14ac:dyDescent="0.25">
      <c r="B309" s="606"/>
      <c r="C309" s="607"/>
      <c r="D309" s="608"/>
      <c r="E309" s="698"/>
      <c r="F309" s="698"/>
      <c r="G309" s="609"/>
      <c r="H309" s="610"/>
      <c r="I309" s="611"/>
      <c r="J309" s="698"/>
      <c r="K309" s="698"/>
      <c r="L309" s="606"/>
      <c r="M309" s="607"/>
      <c r="N309" s="611"/>
      <c r="O309" s="612"/>
      <c r="P309" s="613"/>
      <c r="Q309" s="614"/>
      <c r="R309" s="741"/>
      <c r="S309" s="636"/>
      <c r="T309" s="743"/>
      <c r="U309" s="724"/>
      <c r="Y309" s="724"/>
      <c r="Z309" s="724"/>
      <c r="AA309" s="754"/>
      <c r="AB309" s="754"/>
      <c r="AC309" s="754"/>
      <c r="AD309" s="754"/>
      <c r="AE309" s="754"/>
      <c r="AF309" s="754"/>
      <c r="AG309" s="754"/>
      <c r="AH309" s="754"/>
      <c r="AI309" s="754"/>
      <c r="AJ309" s="754"/>
      <c r="AK309" s="754"/>
      <c r="AL309" s="754"/>
      <c r="AM309" s="754"/>
      <c r="AN309" s="754"/>
      <c r="AO309" s="754"/>
      <c r="AP309" s="754"/>
      <c r="AQ309" s="754"/>
      <c r="AR309" s="754"/>
      <c r="AS309" s="754"/>
      <c r="AT309" s="754"/>
      <c r="AU309" s="754"/>
      <c r="AV309" s="616"/>
      <c r="AW309" s="616"/>
      <c r="AX309" s="616"/>
      <c r="AY309" s="616"/>
      <c r="AZ309" s="616"/>
    </row>
    <row r="310" spans="2:52" x14ac:dyDescent="0.25">
      <c r="B310" s="606"/>
      <c r="C310" s="607"/>
      <c r="D310" s="608"/>
      <c r="E310" s="698"/>
      <c r="F310" s="698"/>
      <c r="G310" s="609"/>
      <c r="H310" s="610"/>
      <c r="I310" s="611"/>
      <c r="J310" s="698"/>
      <c r="K310" s="698"/>
      <c r="L310" s="606"/>
      <c r="M310" s="607"/>
      <c r="N310" s="611"/>
      <c r="O310" s="612"/>
      <c r="P310" s="613"/>
      <c r="Q310" s="614"/>
      <c r="R310" s="741"/>
      <c r="S310" s="636"/>
      <c r="T310" s="743"/>
      <c r="U310" s="724"/>
      <c r="Y310" s="724"/>
      <c r="Z310" s="724"/>
      <c r="AA310" s="754"/>
      <c r="AB310" s="754"/>
      <c r="AC310" s="754"/>
      <c r="AD310" s="754"/>
      <c r="AE310" s="754"/>
      <c r="AF310" s="754"/>
      <c r="AG310" s="754"/>
      <c r="AH310" s="754"/>
      <c r="AI310" s="754"/>
      <c r="AJ310" s="754"/>
      <c r="AK310" s="754"/>
      <c r="AL310" s="754"/>
      <c r="AM310" s="754"/>
      <c r="AN310" s="754"/>
      <c r="AO310" s="754"/>
      <c r="AP310" s="754"/>
      <c r="AQ310" s="754"/>
      <c r="AR310" s="754"/>
      <c r="AS310" s="754"/>
      <c r="AT310" s="754"/>
      <c r="AU310" s="754"/>
      <c r="AV310" s="616"/>
      <c r="AW310" s="616"/>
      <c r="AX310" s="616"/>
      <c r="AY310" s="616"/>
      <c r="AZ310" s="616"/>
    </row>
    <row r="311" spans="2:52" x14ac:dyDescent="0.25">
      <c r="B311" s="606"/>
      <c r="C311" s="607"/>
      <c r="D311" s="608"/>
      <c r="E311" s="698"/>
      <c r="F311" s="698"/>
      <c r="G311" s="609"/>
      <c r="H311" s="610"/>
      <c r="I311" s="611"/>
      <c r="J311" s="698"/>
      <c r="K311" s="698"/>
      <c r="L311" s="606"/>
      <c r="M311" s="607"/>
      <c r="N311" s="611"/>
      <c r="O311" s="612"/>
      <c r="P311" s="613"/>
      <c r="Q311" s="614"/>
      <c r="R311" s="741"/>
      <c r="S311" s="636"/>
      <c r="T311" s="743"/>
      <c r="U311" s="724"/>
      <c r="Y311" s="724"/>
      <c r="Z311" s="724"/>
      <c r="AA311" s="754"/>
      <c r="AB311" s="754"/>
      <c r="AC311" s="754"/>
      <c r="AD311" s="754"/>
      <c r="AE311" s="754"/>
      <c r="AF311" s="754"/>
      <c r="AG311" s="754"/>
      <c r="AH311" s="754"/>
      <c r="AI311" s="754"/>
      <c r="AJ311" s="754"/>
      <c r="AK311" s="754"/>
      <c r="AL311" s="754"/>
      <c r="AM311" s="754"/>
      <c r="AN311" s="754"/>
      <c r="AO311" s="754"/>
      <c r="AP311" s="754"/>
      <c r="AQ311" s="754"/>
      <c r="AR311" s="754"/>
      <c r="AS311" s="754"/>
      <c r="AT311" s="754"/>
      <c r="AU311" s="754"/>
      <c r="AV311" s="616"/>
      <c r="AW311" s="616"/>
      <c r="AX311" s="616"/>
      <c r="AY311" s="616"/>
      <c r="AZ311" s="616"/>
    </row>
    <row r="312" spans="2:52" x14ac:dyDescent="0.25">
      <c r="B312" s="606"/>
      <c r="C312" s="607"/>
      <c r="D312" s="608"/>
      <c r="E312" s="698"/>
      <c r="F312" s="698"/>
      <c r="G312" s="609"/>
      <c r="H312" s="610"/>
      <c r="I312" s="611"/>
      <c r="J312" s="698"/>
      <c r="K312" s="698"/>
      <c r="L312" s="606"/>
      <c r="M312" s="607"/>
      <c r="N312" s="611"/>
      <c r="O312" s="612"/>
      <c r="P312" s="613"/>
      <c r="Q312" s="614"/>
      <c r="R312" s="741"/>
      <c r="S312" s="636"/>
      <c r="T312" s="743"/>
      <c r="U312" s="724"/>
      <c r="Y312" s="724"/>
      <c r="Z312" s="724"/>
      <c r="AA312" s="754"/>
      <c r="AB312" s="754"/>
      <c r="AC312" s="754"/>
      <c r="AD312" s="754"/>
      <c r="AE312" s="754"/>
      <c r="AF312" s="754"/>
      <c r="AG312" s="754"/>
      <c r="AH312" s="754"/>
      <c r="AI312" s="754"/>
      <c r="AJ312" s="754"/>
      <c r="AK312" s="754"/>
      <c r="AL312" s="754"/>
      <c r="AM312" s="754"/>
      <c r="AN312" s="754"/>
      <c r="AO312" s="754"/>
      <c r="AP312" s="754"/>
      <c r="AQ312" s="754"/>
      <c r="AR312" s="754"/>
      <c r="AS312" s="754"/>
      <c r="AT312" s="754"/>
      <c r="AU312" s="754"/>
      <c r="AV312" s="616"/>
      <c r="AW312" s="616"/>
      <c r="AX312" s="616"/>
      <c r="AY312" s="616"/>
      <c r="AZ312" s="616"/>
    </row>
    <row r="313" spans="2:52" x14ac:dyDescent="0.25">
      <c r="B313" s="606"/>
      <c r="C313" s="607"/>
      <c r="D313" s="608"/>
      <c r="E313" s="698"/>
      <c r="F313" s="698"/>
      <c r="G313" s="609"/>
      <c r="H313" s="610"/>
      <c r="I313" s="611"/>
      <c r="J313" s="698"/>
      <c r="K313" s="698"/>
      <c r="L313" s="606"/>
      <c r="M313" s="607"/>
      <c r="N313" s="611"/>
      <c r="O313" s="612"/>
      <c r="P313" s="613"/>
      <c r="Q313" s="614"/>
      <c r="R313" s="741"/>
      <c r="S313" s="636"/>
      <c r="T313" s="743"/>
      <c r="U313" s="724"/>
      <c r="Y313" s="724"/>
      <c r="Z313" s="724"/>
      <c r="AA313" s="754"/>
      <c r="AB313" s="754"/>
      <c r="AC313" s="754"/>
      <c r="AD313" s="754"/>
      <c r="AE313" s="754"/>
      <c r="AF313" s="754"/>
      <c r="AG313" s="754"/>
      <c r="AH313" s="754"/>
      <c r="AI313" s="754"/>
      <c r="AJ313" s="754"/>
      <c r="AK313" s="754"/>
      <c r="AL313" s="754"/>
      <c r="AM313" s="754"/>
      <c r="AN313" s="754"/>
      <c r="AO313" s="754"/>
      <c r="AP313" s="754"/>
      <c r="AQ313" s="754"/>
      <c r="AR313" s="754"/>
      <c r="AS313" s="754"/>
      <c r="AT313" s="754"/>
      <c r="AU313" s="754"/>
      <c r="AV313" s="616"/>
      <c r="AW313" s="616"/>
      <c r="AX313" s="616"/>
      <c r="AY313" s="616"/>
      <c r="AZ313" s="616"/>
    </row>
    <row r="314" spans="2:52" x14ac:dyDescent="0.25">
      <c r="B314" s="606"/>
      <c r="C314" s="607"/>
      <c r="D314" s="608"/>
      <c r="E314" s="698"/>
      <c r="F314" s="698"/>
      <c r="G314" s="609"/>
      <c r="H314" s="610"/>
      <c r="I314" s="611"/>
      <c r="J314" s="698"/>
      <c r="K314" s="698"/>
      <c r="L314" s="606"/>
      <c r="M314" s="607"/>
      <c r="N314" s="611"/>
      <c r="O314" s="612"/>
      <c r="P314" s="613"/>
      <c r="Q314" s="614"/>
      <c r="R314" s="741"/>
      <c r="S314" s="636"/>
      <c r="T314" s="743"/>
      <c r="U314" s="724"/>
      <c r="Y314" s="724"/>
      <c r="Z314" s="724"/>
      <c r="AA314" s="754"/>
      <c r="AB314" s="754"/>
      <c r="AC314" s="754"/>
      <c r="AD314" s="754"/>
      <c r="AE314" s="754"/>
      <c r="AF314" s="754"/>
      <c r="AG314" s="754"/>
      <c r="AH314" s="754"/>
      <c r="AI314" s="754"/>
      <c r="AJ314" s="754"/>
      <c r="AK314" s="754"/>
      <c r="AL314" s="754"/>
      <c r="AM314" s="754"/>
      <c r="AN314" s="754"/>
      <c r="AO314" s="754"/>
      <c r="AP314" s="754"/>
      <c r="AQ314" s="754"/>
      <c r="AR314" s="754"/>
      <c r="AS314" s="754"/>
      <c r="AT314" s="754"/>
      <c r="AU314" s="754"/>
      <c r="AV314" s="616"/>
      <c r="AW314" s="616"/>
      <c r="AX314" s="616"/>
      <c r="AY314" s="616"/>
      <c r="AZ314" s="616"/>
    </row>
    <row r="315" spans="2:52" x14ac:dyDescent="0.25">
      <c r="B315" s="606"/>
      <c r="C315" s="607"/>
      <c r="D315" s="608"/>
      <c r="E315" s="698"/>
      <c r="F315" s="698"/>
      <c r="G315" s="609"/>
      <c r="H315" s="610"/>
      <c r="I315" s="611"/>
      <c r="J315" s="698"/>
      <c r="K315" s="698"/>
      <c r="L315" s="606"/>
      <c r="M315" s="607"/>
      <c r="N315" s="611"/>
      <c r="O315" s="612"/>
      <c r="P315" s="613"/>
      <c r="Q315" s="614"/>
      <c r="R315" s="741"/>
      <c r="S315" s="636"/>
      <c r="T315" s="743"/>
      <c r="U315" s="724"/>
      <c r="Y315" s="724"/>
      <c r="Z315" s="724"/>
      <c r="AA315" s="754"/>
      <c r="AB315" s="754"/>
      <c r="AC315" s="754"/>
      <c r="AD315" s="754"/>
      <c r="AE315" s="754"/>
      <c r="AF315" s="754"/>
      <c r="AG315" s="754"/>
      <c r="AH315" s="754"/>
      <c r="AI315" s="754"/>
      <c r="AJ315" s="754"/>
      <c r="AK315" s="754"/>
      <c r="AL315" s="754"/>
      <c r="AM315" s="754"/>
      <c r="AN315" s="754"/>
      <c r="AO315" s="754"/>
      <c r="AP315" s="754"/>
      <c r="AQ315" s="754"/>
      <c r="AR315" s="754"/>
      <c r="AS315" s="754"/>
      <c r="AT315" s="754"/>
      <c r="AU315" s="754"/>
      <c r="AV315" s="616"/>
      <c r="AW315" s="616"/>
      <c r="AX315" s="616"/>
      <c r="AY315" s="616"/>
      <c r="AZ315" s="616"/>
    </row>
    <row r="316" spans="2:52" x14ac:dyDescent="0.25">
      <c r="B316" s="606"/>
      <c r="C316" s="607"/>
      <c r="D316" s="608"/>
      <c r="E316" s="698"/>
      <c r="F316" s="698"/>
      <c r="G316" s="609"/>
      <c r="H316" s="610"/>
      <c r="I316" s="611"/>
      <c r="J316" s="698"/>
      <c r="K316" s="698"/>
      <c r="L316" s="606"/>
      <c r="M316" s="607"/>
      <c r="N316" s="611"/>
      <c r="O316" s="612"/>
      <c r="P316" s="613"/>
      <c r="Q316" s="614"/>
      <c r="R316" s="741"/>
      <c r="S316" s="636"/>
      <c r="T316" s="743"/>
      <c r="U316" s="724"/>
      <c r="Y316" s="724"/>
      <c r="Z316" s="724"/>
      <c r="AA316" s="754"/>
      <c r="AB316" s="754"/>
      <c r="AC316" s="754"/>
      <c r="AD316" s="754"/>
      <c r="AE316" s="754"/>
      <c r="AF316" s="754"/>
      <c r="AG316" s="754"/>
      <c r="AH316" s="754"/>
      <c r="AI316" s="754"/>
      <c r="AJ316" s="754"/>
      <c r="AK316" s="754"/>
      <c r="AL316" s="754"/>
      <c r="AM316" s="754"/>
      <c r="AN316" s="754"/>
      <c r="AO316" s="754"/>
      <c r="AP316" s="754"/>
      <c r="AQ316" s="754"/>
      <c r="AR316" s="754"/>
      <c r="AS316" s="754"/>
      <c r="AT316" s="754"/>
      <c r="AU316" s="754"/>
      <c r="AV316" s="616"/>
      <c r="AW316" s="616"/>
      <c r="AX316" s="616"/>
      <c r="AY316" s="616"/>
      <c r="AZ316" s="616"/>
    </row>
    <row r="317" spans="2:52" x14ac:dyDescent="0.25">
      <c r="B317" s="606"/>
      <c r="C317" s="607"/>
      <c r="D317" s="608"/>
      <c r="E317" s="698"/>
      <c r="F317" s="698"/>
      <c r="G317" s="609"/>
      <c r="H317" s="610"/>
      <c r="I317" s="611"/>
      <c r="J317" s="698"/>
      <c r="K317" s="698"/>
      <c r="L317" s="606"/>
      <c r="M317" s="607"/>
      <c r="N317" s="611"/>
      <c r="O317" s="612"/>
      <c r="P317" s="613"/>
      <c r="Q317" s="614"/>
      <c r="R317" s="741"/>
      <c r="S317" s="636"/>
      <c r="T317" s="743"/>
      <c r="U317" s="724"/>
      <c r="Y317" s="724"/>
      <c r="Z317" s="724"/>
      <c r="AA317" s="754"/>
      <c r="AB317" s="754"/>
      <c r="AC317" s="754"/>
      <c r="AD317" s="754"/>
      <c r="AE317" s="754"/>
      <c r="AF317" s="754"/>
      <c r="AG317" s="754"/>
      <c r="AH317" s="754"/>
      <c r="AI317" s="754"/>
      <c r="AJ317" s="754"/>
      <c r="AK317" s="754"/>
      <c r="AL317" s="754"/>
      <c r="AM317" s="754"/>
      <c r="AN317" s="754"/>
      <c r="AO317" s="754"/>
      <c r="AP317" s="754"/>
      <c r="AQ317" s="754"/>
      <c r="AR317" s="754"/>
      <c r="AS317" s="754"/>
      <c r="AT317" s="754"/>
      <c r="AU317" s="754"/>
      <c r="AV317" s="616"/>
      <c r="AW317" s="616"/>
      <c r="AX317" s="616"/>
      <c r="AY317" s="616"/>
      <c r="AZ317" s="616"/>
    </row>
    <row r="318" spans="2:52" x14ac:dyDescent="0.25">
      <c r="B318" s="606"/>
      <c r="C318" s="607"/>
      <c r="D318" s="608"/>
      <c r="E318" s="698"/>
      <c r="F318" s="698"/>
      <c r="G318" s="609"/>
      <c r="H318" s="610"/>
      <c r="I318" s="611"/>
      <c r="J318" s="698"/>
      <c r="K318" s="698"/>
      <c r="L318" s="606"/>
      <c r="M318" s="607"/>
      <c r="N318" s="611"/>
      <c r="O318" s="612"/>
      <c r="P318" s="613"/>
      <c r="Q318" s="614"/>
      <c r="R318" s="741"/>
      <c r="S318" s="636"/>
      <c r="T318" s="743"/>
      <c r="U318" s="724"/>
      <c r="Y318" s="724"/>
      <c r="Z318" s="724"/>
      <c r="AA318" s="754"/>
      <c r="AB318" s="754"/>
      <c r="AC318" s="754"/>
      <c r="AD318" s="754"/>
      <c r="AE318" s="754"/>
      <c r="AF318" s="754"/>
      <c r="AG318" s="754"/>
      <c r="AH318" s="754"/>
      <c r="AI318" s="754"/>
      <c r="AJ318" s="754"/>
      <c r="AK318" s="754"/>
      <c r="AL318" s="754"/>
      <c r="AM318" s="754"/>
      <c r="AN318" s="754"/>
      <c r="AO318" s="754"/>
      <c r="AP318" s="754"/>
      <c r="AQ318" s="754"/>
      <c r="AR318" s="754"/>
      <c r="AS318" s="754"/>
      <c r="AT318" s="754"/>
      <c r="AU318" s="754"/>
      <c r="AV318" s="616"/>
      <c r="AW318" s="616"/>
      <c r="AX318" s="616"/>
      <c r="AY318" s="616"/>
      <c r="AZ318" s="616"/>
    </row>
    <row r="319" spans="2:52" x14ac:dyDescent="0.25">
      <c r="B319" s="606"/>
      <c r="C319" s="607"/>
      <c r="D319" s="608"/>
      <c r="E319" s="698"/>
      <c r="F319" s="698"/>
      <c r="G319" s="609"/>
      <c r="H319" s="610"/>
      <c r="I319" s="611"/>
      <c r="J319" s="698"/>
      <c r="K319" s="698"/>
      <c r="L319" s="606"/>
      <c r="M319" s="607"/>
      <c r="N319" s="611"/>
      <c r="O319" s="612"/>
      <c r="P319" s="613"/>
      <c r="Q319" s="614"/>
      <c r="R319" s="741"/>
      <c r="S319" s="636"/>
      <c r="T319" s="743"/>
      <c r="U319" s="724"/>
      <c r="Y319" s="724"/>
      <c r="Z319" s="724"/>
      <c r="AA319" s="754"/>
      <c r="AB319" s="754"/>
      <c r="AC319" s="754"/>
      <c r="AD319" s="754"/>
      <c r="AE319" s="754"/>
      <c r="AF319" s="754"/>
      <c r="AG319" s="754"/>
      <c r="AH319" s="754"/>
      <c r="AI319" s="754"/>
      <c r="AJ319" s="754"/>
      <c r="AK319" s="754"/>
      <c r="AL319" s="754"/>
      <c r="AM319" s="754"/>
      <c r="AN319" s="754"/>
      <c r="AO319" s="754"/>
      <c r="AP319" s="754"/>
      <c r="AQ319" s="754"/>
      <c r="AR319" s="754"/>
      <c r="AS319" s="754"/>
      <c r="AT319" s="754"/>
      <c r="AU319" s="754"/>
      <c r="AV319" s="616"/>
      <c r="AW319" s="616"/>
      <c r="AX319" s="616"/>
      <c r="AY319" s="616"/>
      <c r="AZ319" s="616"/>
    </row>
    <row r="320" spans="2:52" x14ac:dyDescent="0.25">
      <c r="B320" s="606"/>
      <c r="C320" s="607"/>
      <c r="D320" s="608"/>
      <c r="E320" s="698"/>
      <c r="F320" s="698"/>
      <c r="G320" s="609"/>
      <c r="H320" s="610"/>
      <c r="I320" s="611"/>
      <c r="J320" s="698"/>
      <c r="K320" s="698"/>
      <c r="L320" s="606"/>
      <c r="M320" s="607"/>
      <c r="N320" s="611"/>
      <c r="O320" s="612"/>
      <c r="P320" s="613"/>
      <c r="Q320" s="614"/>
      <c r="R320" s="741"/>
      <c r="S320" s="636"/>
      <c r="T320" s="743"/>
      <c r="U320" s="724"/>
      <c r="Y320" s="724"/>
      <c r="Z320" s="724"/>
      <c r="AA320" s="754"/>
      <c r="AB320" s="754"/>
      <c r="AC320" s="754"/>
      <c r="AD320" s="754"/>
      <c r="AE320" s="754"/>
      <c r="AF320" s="754"/>
      <c r="AG320" s="754"/>
      <c r="AH320" s="754"/>
      <c r="AI320" s="754"/>
      <c r="AJ320" s="754"/>
      <c r="AK320" s="754"/>
      <c r="AL320" s="754"/>
      <c r="AM320" s="754"/>
      <c r="AN320" s="754"/>
      <c r="AO320" s="754"/>
      <c r="AP320" s="754"/>
      <c r="AQ320" s="754"/>
      <c r="AR320" s="754"/>
      <c r="AS320" s="754"/>
      <c r="AT320" s="754"/>
      <c r="AU320" s="754"/>
      <c r="AV320" s="616"/>
      <c r="AW320" s="616"/>
      <c r="AX320" s="616"/>
      <c r="AY320" s="616"/>
      <c r="AZ320" s="616"/>
    </row>
    <row r="321" spans="2:52" x14ac:dyDescent="0.25">
      <c r="B321" s="606"/>
      <c r="C321" s="607"/>
      <c r="D321" s="608"/>
      <c r="E321" s="698"/>
      <c r="F321" s="698"/>
      <c r="G321" s="609"/>
      <c r="H321" s="610"/>
      <c r="I321" s="611"/>
      <c r="J321" s="698"/>
      <c r="K321" s="698"/>
      <c r="L321" s="606"/>
      <c r="M321" s="607"/>
      <c r="N321" s="611"/>
      <c r="O321" s="612"/>
      <c r="P321" s="613"/>
      <c r="Q321" s="614"/>
      <c r="R321" s="741"/>
      <c r="S321" s="636"/>
      <c r="T321" s="743"/>
      <c r="U321" s="724"/>
      <c r="Y321" s="724"/>
      <c r="Z321" s="724"/>
      <c r="AA321" s="754"/>
      <c r="AB321" s="754"/>
      <c r="AC321" s="754"/>
      <c r="AD321" s="754"/>
      <c r="AE321" s="754"/>
      <c r="AF321" s="754"/>
      <c r="AG321" s="754"/>
      <c r="AH321" s="754"/>
      <c r="AI321" s="754"/>
      <c r="AJ321" s="754"/>
      <c r="AK321" s="754"/>
      <c r="AL321" s="754"/>
      <c r="AM321" s="754"/>
      <c r="AN321" s="754"/>
      <c r="AO321" s="754"/>
      <c r="AP321" s="754"/>
      <c r="AQ321" s="754"/>
      <c r="AR321" s="754"/>
      <c r="AS321" s="754"/>
      <c r="AT321" s="754"/>
      <c r="AU321" s="754"/>
      <c r="AV321" s="616"/>
      <c r="AW321" s="616"/>
      <c r="AX321" s="616"/>
      <c r="AY321" s="616"/>
      <c r="AZ321" s="616"/>
    </row>
    <row r="322" spans="2:52" x14ac:dyDescent="0.25">
      <c r="B322" s="606"/>
      <c r="C322" s="607"/>
      <c r="D322" s="608"/>
      <c r="E322" s="698"/>
      <c r="F322" s="698"/>
      <c r="G322" s="609"/>
      <c r="H322" s="610"/>
      <c r="I322" s="611"/>
      <c r="J322" s="698"/>
      <c r="K322" s="698"/>
      <c r="L322" s="606"/>
      <c r="M322" s="607"/>
      <c r="N322" s="611"/>
      <c r="O322" s="612"/>
      <c r="P322" s="613"/>
      <c r="Q322" s="614"/>
      <c r="R322" s="741"/>
      <c r="S322" s="636"/>
      <c r="T322" s="743"/>
      <c r="U322" s="724"/>
      <c r="Y322" s="724"/>
      <c r="Z322" s="724"/>
      <c r="AA322" s="754"/>
      <c r="AB322" s="754"/>
      <c r="AC322" s="754"/>
      <c r="AD322" s="754"/>
      <c r="AE322" s="754"/>
      <c r="AF322" s="754"/>
      <c r="AG322" s="754"/>
      <c r="AH322" s="754"/>
      <c r="AI322" s="754"/>
      <c r="AJ322" s="754"/>
      <c r="AK322" s="754"/>
      <c r="AL322" s="754"/>
      <c r="AM322" s="754"/>
      <c r="AN322" s="754"/>
      <c r="AO322" s="754"/>
      <c r="AP322" s="754"/>
      <c r="AQ322" s="754"/>
      <c r="AR322" s="754"/>
      <c r="AS322" s="754"/>
      <c r="AT322" s="754"/>
      <c r="AU322" s="754"/>
      <c r="AV322" s="616"/>
      <c r="AW322" s="616"/>
      <c r="AX322" s="616"/>
      <c r="AY322" s="616"/>
      <c r="AZ322" s="616"/>
    </row>
    <row r="323" spans="2:52" x14ac:dyDescent="0.25">
      <c r="B323" s="606"/>
      <c r="C323" s="607"/>
      <c r="D323" s="608"/>
      <c r="E323" s="698"/>
      <c r="F323" s="698"/>
      <c r="G323" s="609"/>
      <c r="H323" s="610"/>
      <c r="I323" s="611"/>
      <c r="J323" s="698"/>
      <c r="K323" s="698"/>
      <c r="L323" s="606"/>
      <c r="M323" s="607"/>
      <c r="N323" s="611"/>
      <c r="O323" s="612"/>
      <c r="P323" s="613"/>
      <c r="Q323" s="614"/>
      <c r="R323" s="741"/>
      <c r="S323" s="636"/>
      <c r="T323" s="743"/>
      <c r="U323" s="724"/>
      <c r="Y323" s="724"/>
      <c r="Z323" s="724"/>
      <c r="AA323" s="754"/>
      <c r="AB323" s="754"/>
      <c r="AC323" s="754"/>
      <c r="AD323" s="754"/>
      <c r="AE323" s="754"/>
      <c r="AF323" s="754"/>
      <c r="AG323" s="754"/>
      <c r="AH323" s="754"/>
      <c r="AI323" s="754"/>
      <c r="AJ323" s="754"/>
      <c r="AK323" s="754"/>
      <c r="AL323" s="754"/>
      <c r="AM323" s="754"/>
      <c r="AN323" s="754"/>
      <c r="AO323" s="754"/>
      <c r="AP323" s="754"/>
      <c r="AQ323" s="754"/>
      <c r="AR323" s="754"/>
      <c r="AS323" s="754"/>
      <c r="AT323" s="754"/>
      <c r="AU323" s="754"/>
      <c r="AV323" s="616"/>
      <c r="AW323" s="616"/>
      <c r="AX323" s="616"/>
      <c r="AY323" s="616"/>
      <c r="AZ323" s="616"/>
    </row>
    <row r="324" spans="2:52" x14ac:dyDescent="0.25">
      <c r="B324" s="606"/>
      <c r="C324" s="607"/>
      <c r="D324" s="608"/>
      <c r="E324" s="698"/>
      <c r="F324" s="698"/>
      <c r="G324" s="609"/>
      <c r="H324" s="610"/>
      <c r="I324" s="611"/>
      <c r="J324" s="698"/>
      <c r="K324" s="698"/>
      <c r="L324" s="606"/>
      <c r="M324" s="607"/>
      <c r="N324" s="611"/>
      <c r="O324" s="612"/>
      <c r="P324" s="613"/>
      <c r="Q324" s="614"/>
      <c r="R324" s="741"/>
      <c r="S324" s="636"/>
      <c r="T324" s="743"/>
      <c r="U324" s="724"/>
      <c r="Y324" s="724"/>
      <c r="Z324" s="724"/>
      <c r="AA324" s="754"/>
      <c r="AB324" s="754"/>
      <c r="AC324" s="754"/>
      <c r="AD324" s="754"/>
      <c r="AE324" s="754"/>
      <c r="AF324" s="754"/>
      <c r="AG324" s="754"/>
      <c r="AH324" s="754"/>
      <c r="AI324" s="754"/>
      <c r="AJ324" s="754"/>
      <c r="AK324" s="754"/>
      <c r="AL324" s="754"/>
      <c r="AM324" s="754"/>
      <c r="AN324" s="754"/>
      <c r="AO324" s="754"/>
      <c r="AP324" s="754"/>
      <c r="AQ324" s="754"/>
      <c r="AR324" s="754"/>
      <c r="AS324" s="754"/>
      <c r="AT324" s="754"/>
      <c r="AU324" s="754"/>
      <c r="AV324" s="616"/>
      <c r="AW324" s="616"/>
      <c r="AX324" s="616"/>
      <c r="AY324" s="616"/>
      <c r="AZ324" s="616"/>
    </row>
    <row r="325" spans="2:52" x14ac:dyDescent="0.25">
      <c r="B325" s="606"/>
      <c r="C325" s="607"/>
      <c r="D325" s="608"/>
      <c r="E325" s="698"/>
      <c r="F325" s="698"/>
      <c r="G325" s="609"/>
      <c r="H325" s="610"/>
      <c r="I325" s="611"/>
      <c r="J325" s="698"/>
      <c r="K325" s="698"/>
      <c r="L325" s="606"/>
      <c r="M325" s="607"/>
      <c r="N325" s="611"/>
      <c r="O325" s="612"/>
      <c r="P325" s="613"/>
      <c r="Q325" s="614"/>
      <c r="R325" s="741"/>
      <c r="S325" s="636"/>
      <c r="T325" s="743"/>
      <c r="U325" s="724"/>
      <c r="Y325" s="724"/>
      <c r="Z325" s="724"/>
      <c r="AA325" s="754"/>
      <c r="AB325" s="754"/>
      <c r="AC325" s="754"/>
      <c r="AD325" s="754"/>
      <c r="AE325" s="754"/>
      <c r="AF325" s="754"/>
      <c r="AG325" s="754"/>
      <c r="AH325" s="754"/>
      <c r="AI325" s="754"/>
      <c r="AJ325" s="754"/>
      <c r="AK325" s="754"/>
      <c r="AL325" s="754"/>
      <c r="AM325" s="754"/>
      <c r="AN325" s="754"/>
      <c r="AO325" s="754"/>
      <c r="AP325" s="754"/>
      <c r="AQ325" s="754"/>
      <c r="AR325" s="754"/>
      <c r="AS325" s="754"/>
      <c r="AT325" s="754"/>
      <c r="AU325" s="754"/>
      <c r="AV325" s="616"/>
      <c r="AW325" s="616"/>
      <c r="AX325" s="616"/>
      <c r="AY325" s="616"/>
      <c r="AZ325" s="616"/>
    </row>
    <row r="326" spans="2:52" x14ac:dyDescent="0.25">
      <c r="B326" s="606"/>
      <c r="C326" s="607"/>
      <c r="D326" s="608"/>
      <c r="E326" s="698"/>
      <c r="F326" s="698"/>
      <c r="G326" s="609"/>
      <c r="H326" s="610"/>
      <c r="I326" s="611"/>
      <c r="J326" s="698"/>
      <c r="K326" s="698"/>
      <c r="L326" s="606"/>
      <c r="M326" s="607"/>
      <c r="N326" s="611"/>
      <c r="O326" s="612"/>
      <c r="P326" s="613"/>
      <c r="Q326" s="614"/>
      <c r="R326" s="741"/>
      <c r="S326" s="636"/>
      <c r="T326" s="743"/>
      <c r="U326" s="724"/>
      <c r="Y326" s="724"/>
      <c r="Z326" s="724"/>
      <c r="AA326" s="754"/>
      <c r="AB326" s="754"/>
      <c r="AC326" s="754"/>
      <c r="AD326" s="754"/>
      <c r="AE326" s="754"/>
      <c r="AF326" s="754"/>
      <c r="AG326" s="754"/>
      <c r="AH326" s="754"/>
      <c r="AI326" s="754"/>
      <c r="AJ326" s="754"/>
      <c r="AK326" s="754"/>
      <c r="AL326" s="754"/>
      <c r="AM326" s="754"/>
      <c r="AN326" s="754"/>
      <c r="AO326" s="754"/>
      <c r="AP326" s="754"/>
      <c r="AQ326" s="754"/>
      <c r="AR326" s="754"/>
      <c r="AS326" s="754"/>
      <c r="AT326" s="754"/>
      <c r="AU326" s="754"/>
      <c r="AV326" s="616"/>
      <c r="AW326" s="616"/>
      <c r="AX326" s="616"/>
      <c r="AY326" s="616"/>
      <c r="AZ326" s="616"/>
    </row>
    <row r="327" spans="2:52" x14ac:dyDescent="0.25">
      <c r="B327" s="606"/>
      <c r="C327" s="607"/>
      <c r="D327" s="608"/>
      <c r="E327" s="698"/>
      <c r="F327" s="698"/>
      <c r="G327" s="609"/>
      <c r="H327" s="610"/>
      <c r="I327" s="611"/>
      <c r="J327" s="698"/>
      <c r="K327" s="698"/>
      <c r="L327" s="606"/>
      <c r="M327" s="607"/>
      <c r="N327" s="611"/>
      <c r="O327" s="612"/>
      <c r="P327" s="613"/>
      <c r="Q327" s="614"/>
      <c r="R327" s="741"/>
      <c r="S327" s="636"/>
      <c r="T327" s="743"/>
      <c r="U327" s="724"/>
      <c r="Y327" s="724"/>
      <c r="Z327" s="724"/>
      <c r="AA327" s="754"/>
      <c r="AB327" s="754"/>
      <c r="AC327" s="754"/>
      <c r="AD327" s="754"/>
      <c r="AE327" s="754"/>
      <c r="AF327" s="754"/>
      <c r="AG327" s="754"/>
      <c r="AH327" s="754"/>
      <c r="AI327" s="754"/>
      <c r="AJ327" s="754"/>
      <c r="AK327" s="754"/>
      <c r="AL327" s="754"/>
      <c r="AM327" s="754"/>
      <c r="AN327" s="754"/>
      <c r="AO327" s="754"/>
      <c r="AP327" s="754"/>
      <c r="AQ327" s="754"/>
      <c r="AR327" s="754"/>
      <c r="AS327" s="754"/>
      <c r="AT327" s="754"/>
      <c r="AU327" s="754"/>
      <c r="AV327" s="616"/>
      <c r="AW327" s="616"/>
      <c r="AX327" s="616"/>
      <c r="AY327" s="616"/>
      <c r="AZ327" s="616"/>
    </row>
    <row r="328" spans="2:52" x14ac:dyDescent="0.25">
      <c r="B328" s="606"/>
      <c r="C328" s="607"/>
      <c r="D328" s="608"/>
      <c r="E328" s="698"/>
      <c r="F328" s="698"/>
      <c r="G328" s="609"/>
      <c r="H328" s="610"/>
      <c r="I328" s="611"/>
      <c r="J328" s="698"/>
      <c r="K328" s="698"/>
      <c r="L328" s="606"/>
      <c r="M328" s="607"/>
      <c r="N328" s="611"/>
      <c r="O328" s="612"/>
      <c r="P328" s="613"/>
      <c r="Q328" s="614"/>
      <c r="R328" s="741"/>
      <c r="S328" s="636"/>
      <c r="T328" s="743"/>
      <c r="U328" s="724"/>
      <c r="Y328" s="724"/>
      <c r="Z328" s="724"/>
      <c r="AA328" s="754"/>
      <c r="AB328" s="754"/>
      <c r="AC328" s="754"/>
      <c r="AD328" s="754"/>
      <c r="AE328" s="754"/>
      <c r="AF328" s="754"/>
      <c r="AG328" s="754"/>
      <c r="AH328" s="754"/>
      <c r="AI328" s="754"/>
      <c r="AJ328" s="754"/>
      <c r="AK328" s="754"/>
      <c r="AL328" s="754"/>
      <c r="AM328" s="754"/>
      <c r="AN328" s="754"/>
      <c r="AO328" s="754"/>
      <c r="AP328" s="754"/>
      <c r="AQ328" s="754"/>
      <c r="AR328" s="754"/>
      <c r="AS328" s="754"/>
      <c r="AT328" s="754"/>
      <c r="AU328" s="754"/>
      <c r="AV328" s="616"/>
      <c r="AW328" s="616"/>
      <c r="AX328" s="616"/>
      <c r="AY328" s="616"/>
      <c r="AZ328" s="616"/>
    </row>
    <row r="329" spans="2:52" x14ac:dyDescent="0.25">
      <c r="B329" s="606"/>
      <c r="C329" s="607"/>
      <c r="D329" s="608"/>
      <c r="E329" s="698"/>
      <c r="F329" s="698"/>
      <c r="G329" s="609"/>
      <c r="H329" s="610"/>
      <c r="I329" s="611"/>
      <c r="J329" s="698"/>
      <c r="K329" s="698"/>
      <c r="L329" s="606"/>
      <c r="M329" s="607"/>
      <c r="N329" s="611"/>
      <c r="O329" s="612"/>
      <c r="P329" s="613"/>
      <c r="Q329" s="614"/>
      <c r="R329" s="741"/>
      <c r="S329" s="636"/>
      <c r="T329" s="743"/>
      <c r="U329" s="724"/>
      <c r="Y329" s="724"/>
      <c r="Z329" s="724"/>
      <c r="AA329" s="754"/>
      <c r="AB329" s="754"/>
      <c r="AC329" s="754"/>
      <c r="AD329" s="754"/>
      <c r="AE329" s="754"/>
      <c r="AF329" s="754"/>
      <c r="AG329" s="754"/>
      <c r="AH329" s="754"/>
      <c r="AI329" s="754"/>
      <c r="AJ329" s="754"/>
      <c r="AK329" s="754"/>
      <c r="AL329" s="754"/>
      <c r="AM329" s="754"/>
      <c r="AN329" s="754"/>
      <c r="AO329" s="754"/>
      <c r="AP329" s="754"/>
      <c r="AQ329" s="754"/>
      <c r="AR329" s="754"/>
      <c r="AS329" s="754"/>
      <c r="AT329" s="754"/>
      <c r="AU329" s="754"/>
      <c r="AV329" s="616"/>
      <c r="AW329" s="616"/>
      <c r="AX329" s="616"/>
      <c r="AY329" s="616"/>
      <c r="AZ329" s="616"/>
    </row>
    <row r="330" spans="2:52" x14ac:dyDescent="0.25">
      <c r="B330" s="606"/>
      <c r="C330" s="607"/>
      <c r="D330" s="608"/>
      <c r="E330" s="698"/>
      <c r="F330" s="698"/>
      <c r="G330" s="609"/>
      <c r="H330" s="610"/>
      <c r="I330" s="611"/>
      <c r="J330" s="698"/>
      <c r="K330" s="698"/>
      <c r="L330" s="606"/>
      <c r="M330" s="607"/>
      <c r="N330" s="611"/>
      <c r="O330" s="612"/>
      <c r="P330" s="613"/>
      <c r="Q330" s="614"/>
      <c r="R330" s="741"/>
      <c r="S330" s="636"/>
      <c r="T330" s="743"/>
      <c r="U330" s="724"/>
      <c r="Y330" s="724"/>
      <c r="Z330" s="724"/>
      <c r="AA330" s="754"/>
      <c r="AB330" s="754"/>
      <c r="AC330" s="754"/>
      <c r="AD330" s="754"/>
      <c r="AE330" s="754"/>
      <c r="AF330" s="754"/>
      <c r="AG330" s="754"/>
      <c r="AH330" s="754"/>
      <c r="AI330" s="754"/>
      <c r="AJ330" s="754"/>
      <c r="AK330" s="754"/>
      <c r="AL330" s="754"/>
      <c r="AM330" s="754"/>
      <c r="AN330" s="754"/>
      <c r="AO330" s="754"/>
      <c r="AP330" s="754"/>
      <c r="AQ330" s="754"/>
      <c r="AR330" s="754"/>
      <c r="AS330" s="754"/>
      <c r="AT330" s="754"/>
      <c r="AU330" s="754"/>
      <c r="AV330" s="616"/>
      <c r="AW330" s="616"/>
      <c r="AX330" s="616"/>
      <c r="AY330" s="616"/>
      <c r="AZ330" s="616"/>
    </row>
    <row r="331" spans="2:52" x14ac:dyDescent="0.25">
      <c r="B331" s="606"/>
      <c r="C331" s="607"/>
      <c r="D331" s="608"/>
      <c r="E331" s="698"/>
      <c r="F331" s="698"/>
      <c r="G331" s="609"/>
      <c r="H331" s="610"/>
      <c r="I331" s="611"/>
      <c r="J331" s="698"/>
      <c r="K331" s="698"/>
      <c r="L331" s="606"/>
      <c r="M331" s="607"/>
      <c r="N331" s="611"/>
      <c r="O331" s="612"/>
      <c r="P331" s="613"/>
      <c r="Q331" s="614"/>
      <c r="R331" s="741"/>
      <c r="S331" s="636"/>
      <c r="T331" s="743"/>
      <c r="U331" s="724"/>
      <c r="Y331" s="724"/>
      <c r="Z331" s="724"/>
      <c r="AA331" s="754"/>
      <c r="AB331" s="754"/>
      <c r="AC331" s="754"/>
      <c r="AD331" s="754"/>
      <c r="AE331" s="754"/>
      <c r="AF331" s="754"/>
      <c r="AG331" s="754"/>
      <c r="AH331" s="754"/>
      <c r="AI331" s="754"/>
      <c r="AJ331" s="754"/>
      <c r="AK331" s="754"/>
      <c r="AL331" s="754"/>
      <c r="AM331" s="754"/>
      <c r="AN331" s="754"/>
      <c r="AO331" s="754"/>
      <c r="AP331" s="754"/>
      <c r="AQ331" s="754"/>
      <c r="AR331" s="754"/>
      <c r="AS331" s="754"/>
      <c r="AT331" s="754"/>
      <c r="AU331" s="754"/>
      <c r="AV331" s="616"/>
      <c r="AW331" s="616"/>
      <c r="AX331" s="616"/>
      <c r="AY331" s="616"/>
      <c r="AZ331" s="616"/>
    </row>
    <row r="332" spans="2:52" x14ac:dyDescent="0.25">
      <c r="B332" s="606"/>
      <c r="C332" s="607"/>
      <c r="D332" s="608"/>
      <c r="E332" s="698"/>
      <c r="F332" s="698"/>
      <c r="G332" s="609"/>
      <c r="H332" s="610"/>
      <c r="I332" s="611"/>
      <c r="J332" s="698"/>
      <c r="K332" s="698"/>
      <c r="L332" s="606"/>
      <c r="M332" s="607"/>
      <c r="N332" s="611"/>
      <c r="O332" s="612"/>
      <c r="P332" s="613"/>
      <c r="Q332" s="614"/>
      <c r="R332" s="741"/>
      <c r="S332" s="636"/>
      <c r="T332" s="743"/>
      <c r="U332" s="724"/>
      <c r="Y332" s="724"/>
      <c r="Z332" s="724"/>
      <c r="AA332" s="754"/>
      <c r="AB332" s="754"/>
      <c r="AC332" s="754"/>
      <c r="AD332" s="754"/>
      <c r="AE332" s="754"/>
      <c r="AF332" s="754"/>
      <c r="AG332" s="754"/>
      <c r="AH332" s="754"/>
      <c r="AI332" s="754"/>
      <c r="AJ332" s="754"/>
      <c r="AK332" s="754"/>
      <c r="AL332" s="754"/>
      <c r="AM332" s="754"/>
      <c r="AN332" s="754"/>
      <c r="AO332" s="754"/>
      <c r="AP332" s="754"/>
      <c r="AQ332" s="754"/>
      <c r="AR332" s="754"/>
      <c r="AS332" s="754"/>
      <c r="AT332" s="754"/>
      <c r="AU332" s="754"/>
      <c r="AV332" s="616"/>
      <c r="AW332" s="616"/>
      <c r="AX332" s="616"/>
      <c r="AY332" s="616"/>
      <c r="AZ332" s="616"/>
    </row>
    <row r="333" spans="2:52" x14ac:dyDescent="0.25">
      <c r="B333" s="606"/>
      <c r="C333" s="607"/>
      <c r="D333" s="608"/>
      <c r="E333" s="698"/>
      <c r="F333" s="698"/>
      <c r="G333" s="609"/>
      <c r="H333" s="610"/>
      <c r="I333" s="611"/>
      <c r="J333" s="698"/>
      <c r="K333" s="698"/>
      <c r="L333" s="606"/>
      <c r="M333" s="607"/>
      <c r="N333" s="611"/>
      <c r="O333" s="612"/>
      <c r="P333" s="613"/>
      <c r="Q333" s="614"/>
      <c r="R333" s="741"/>
      <c r="S333" s="636"/>
      <c r="T333" s="743"/>
      <c r="U333" s="724"/>
      <c r="Y333" s="724"/>
      <c r="Z333" s="724"/>
      <c r="AA333" s="754"/>
      <c r="AB333" s="754"/>
      <c r="AC333" s="754"/>
      <c r="AD333" s="754"/>
      <c r="AE333" s="754"/>
      <c r="AF333" s="754"/>
      <c r="AG333" s="754"/>
      <c r="AH333" s="754"/>
      <c r="AI333" s="754"/>
      <c r="AJ333" s="754"/>
      <c r="AK333" s="754"/>
      <c r="AL333" s="754"/>
      <c r="AM333" s="754"/>
      <c r="AN333" s="754"/>
      <c r="AO333" s="754"/>
      <c r="AP333" s="754"/>
      <c r="AQ333" s="754"/>
      <c r="AR333" s="754"/>
      <c r="AS333" s="754"/>
      <c r="AT333" s="754"/>
      <c r="AU333" s="754"/>
      <c r="AV333" s="616"/>
      <c r="AW333" s="616"/>
      <c r="AX333" s="616"/>
      <c r="AY333" s="616"/>
      <c r="AZ333" s="616"/>
    </row>
    <row r="334" spans="2:52" x14ac:dyDescent="0.25">
      <c r="B334" s="606"/>
      <c r="C334" s="607"/>
      <c r="D334" s="608"/>
      <c r="E334" s="698"/>
      <c r="F334" s="698"/>
      <c r="G334" s="609"/>
      <c r="H334" s="610"/>
      <c r="I334" s="611"/>
      <c r="J334" s="698"/>
      <c r="K334" s="698"/>
      <c r="L334" s="606"/>
      <c r="M334" s="607"/>
      <c r="N334" s="611"/>
      <c r="O334" s="612"/>
      <c r="P334" s="613"/>
      <c r="Q334" s="614"/>
      <c r="R334" s="741"/>
      <c r="S334" s="636"/>
      <c r="T334" s="743"/>
      <c r="U334" s="724"/>
      <c r="Y334" s="724"/>
      <c r="Z334" s="724"/>
      <c r="AA334" s="754"/>
      <c r="AB334" s="754"/>
      <c r="AC334" s="754"/>
      <c r="AD334" s="754"/>
      <c r="AE334" s="754"/>
      <c r="AF334" s="754"/>
      <c r="AG334" s="754"/>
      <c r="AH334" s="754"/>
      <c r="AI334" s="754"/>
      <c r="AJ334" s="754"/>
      <c r="AK334" s="754"/>
      <c r="AL334" s="754"/>
      <c r="AM334" s="754"/>
      <c r="AN334" s="754"/>
      <c r="AO334" s="754"/>
      <c r="AP334" s="754"/>
      <c r="AQ334" s="754"/>
      <c r="AR334" s="754"/>
      <c r="AS334" s="754"/>
      <c r="AT334" s="754"/>
      <c r="AU334" s="754"/>
      <c r="AV334" s="616"/>
      <c r="AW334" s="616"/>
      <c r="AX334" s="616"/>
      <c r="AY334" s="616"/>
      <c r="AZ334" s="616"/>
    </row>
    <row r="335" spans="2:52" x14ac:dyDescent="0.25">
      <c r="B335" s="606"/>
      <c r="C335" s="607"/>
      <c r="D335" s="608"/>
      <c r="E335" s="698"/>
      <c r="F335" s="698"/>
      <c r="G335" s="609"/>
      <c r="H335" s="610"/>
      <c r="I335" s="611"/>
      <c r="J335" s="698"/>
      <c r="K335" s="698"/>
      <c r="L335" s="606"/>
      <c r="M335" s="607"/>
      <c r="N335" s="611"/>
      <c r="O335" s="612"/>
      <c r="P335" s="613"/>
      <c r="Q335" s="614"/>
      <c r="R335" s="741"/>
      <c r="S335" s="636"/>
      <c r="T335" s="743"/>
      <c r="U335" s="724"/>
      <c r="Y335" s="724"/>
      <c r="Z335" s="724"/>
      <c r="AA335" s="754"/>
      <c r="AB335" s="754"/>
      <c r="AC335" s="754"/>
      <c r="AD335" s="754"/>
      <c r="AE335" s="754"/>
      <c r="AF335" s="754"/>
      <c r="AG335" s="754"/>
      <c r="AH335" s="754"/>
      <c r="AI335" s="754"/>
      <c r="AJ335" s="754"/>
      <c r="AK335" s="754"/>
      <c r="AL335" s="754"/>
      <c r="AM335" s="754"/>
      <c r="AN335" s="754"/>
      <c r="AO335" s="754"/>
      <c r="AP335" s="754"/>
      <c r="AQ335" s="754"/>
      <c r="AR335" s="754"/>
      <c r="AS335" s="754"/>
      <c r="AT335" s="754"/>
      <c r="AU335" s="754"/>
      <c r="AV335" s="616"/>
      <c r="AW335" s="616"/>
      <c r="AX335" s="616"/>
      <c r="AY335" s="616"/>
      <c r="AZ335" s="616"/>
    </row>
    <row r="336" spans="2:52" x14ac:dyDescent="0.25">
      <c r="B336" s="606"/>
      <c r="C336" s="607"/>
      <c r="D336" s="608"/>
      <c r="E336" s="698"/>
      <c r="F336" s="698"/>
      <c r="G336" s="609"/>
      <c r="H336" s="610"/>
      <c r="I336" s="611"/>
      <c r="J336" s="698"/>
      <c r="K336" s="698"/>
      <c r="L336" s="606"/>
      <c r="M336" s="607"/>
      <c r="N336" s="611"/>
      <c r="O336" s="612"/>
      <c r="P336" s="613"/>
      <c r="Q336" s="614"/>
      <c r="R336" s="741"/>
      <c r="S336" s="636"/>
      <c r="T336" s="743"/>
      <c r="U336" s="724"/>
      <c r="Y336" s="724"/>
      <c r="Z336" s="724"/>
      <c r="AA336" s="754"/>
      <c r="AB336" s="754"/>
      <c r="AC336" s="754"/>
      <c r="AD336" s="754"/>
      <c r="AE336" s="754"/>
      <c r="AF336" s="754"/>
      <c r="AG336" s="754"/>
      <c r="AH336" s="754"/>
      <c r="AI336" s="754"/>
      <c r="AJ336" s="754"/>
      <c r="AK336" s="754"/>
      <c r="AL336" s="754"/>
      <c r="AM336" s="754"/>
      <c r="AN336" s="754"/>
      <c r="AO336" s="754"/>
      <c r="AP336" s="754"/>
      <c r="AQ336" s="754"/>
      <c r="AR336" s="754"/>
      <c r="AS336" s="754"/>
      <c r="AT336" s="754"/>
      <c r="AU336" s="754"/>
      <c r="AV336" s="616"/>
      <c r="AW336" s="616"/>
      <c r="AX336" s="616"/>
      <c r="AY336" s="616"/>
      <c r="AZ336" s="616"/>
    </row>
    <row r="337" spans="2:52" x14ac:dyDescent="0.25">
      <c r="B337" s="606"/>
      <c r="C337" s="607"/>
      <c r="D337" s="608"/>
      <c r="E337" s="698"/>
      <c r="F337" s="698"/>
      <c r="G337" s="609"/>
      <c r="H337" s="610"/>
      <c r="I337" s="611"/>
      <c r="J337" s="698"/>
      <c r="K337" s="698"/>
      <c r="L337" s="606"/>
      <c r="M337" s="607"/>
      <c r="N337" s="611"/>
      <c r="O337" s="612"/>
      <c r="P337" s="613"/>
      <c r="Q337" s="614"/>
      <c r="R337" s="741"/>
      <c r="S337" s="636"/>
      <c r="T337" s="743"/>
      <c r="U337" s="724"/>
      <c r="Y337" s="724"/>
      <c r="Z337" s="724"/>
      <c r="AA337" s="754"/>
      <c r="AB337" s="754"/>
      <c r="AC337" s="754"/>
      <c r="AD337" s="754"/>
      <c r="AE337" s="754"/>
      <c r="AF337" s="754"/>
      <c r="AG337" s="754"/>
      <c r="AH337" s="754"/>
      <c r="AI337" s="754"/>
      <c r="AJ337" s="754"/>
      <c r="AK337" s="754"/>
      <c r="AL337" s="754"/>
      <c r="AM337" s="754"/>
      <c r="AN337" s="754"/>
      <c r="AO337" s="754"/>
      <c r="AP337" s="754"/>
      <c r="AQ337" s="754"/>
      <c r="AR337" s="754"/>
      <c r="AS337" s="754"/>
      <c r="AT337" s="754"/>
      <c r="AU337" s="754"/>
      <c r="AV337" s="616"/>
      <c r="AW337" s="616"/>
      <c r="AX337" s="616"/>
      <c r="AY337" s="616"/>
      <c r="AZ337" s="616"/>
    </row>
    <row r="338" spans="2:52" x14ac:dyDescent="0.25">
      <c r="B338" s="606"/>
      <c r="C338" s="607"/>
      <c r="D338" s="608"/>
      <c r="E338" s="698"/>
      <c r="F338" s="698"/>
      <c r="G338" s="609"/>
      <c r="H338" s="610"/>
      <c r="I338" s="611"/>
      <c r="J338" s="698"/>
      <c r="K338" s="698"/>
      <c r="L338" s="606"/>
      <c r="M338" s="607"/>
      <c r="N338" s="611"/>
      <c r="O338" s="612"/>
      <c r="P338" s="613"/>
      <c r="Q338" s="614"/>
      <c r="R338" s="741"/>
      <c r="S338" s="636"/>
      <c r="T338" s="743"/>
      <c r="U338" s="724"/>
      <c r="Y338" s="724"/>
      <c r="Z338" s="724"/>
      <c r="AA338" s="754"/>
      <c r="AB338" s="754"/>
      <c r="AC338" s="754"/>
      <c r="AD338" s="754"/>
      <c r="AE338" s="754"/>
      <c r="AF338" s="754"/>
      <c r="AG338" s="754"/>
      <c r="AH338" s="754"/>
      <c r="AI338" s="754"/>
      <c r="AJ338" s="754"/>
      <c r="AK338" s="754"/>
      <c r="AL338" s="754"/>
      <c r="AM338" s="754"/>
      <c r="AN338" s="754"/>
      <c r="AO338" s="754"/>
      <c r="AP338" s="754"/>
      <c r="AQ338" s="754"/>
      <c r="AR338" s="754"/>
      <c r="AS338" s="754"/>
      <c r="AT338" s="754"/>
      <c r="AU338" s="754"/>
      <c r="AV338" s="616"/>
      <c r="AW338" s="616"/>
      <c r="AX338" s="616"/>
      <c r="AY338" s="616"/>
      <c r="AZ338" s="616"/>
    </row>
    <row r="339" spans="2:52" x14ac:dyDescent="0.25">
      <c r="B339" s="606"/>
      <c r="C339" s="607"/>
      <c r="D339" s="608"/>
      <c r="E339" s="698"/>
      <c r="F339" s="698"/>
      <c r="G339" s="609"/>
      <c r="H339" s="610"/>
      <c r="I339" s="611"/>
      <c r="J339" s="698"/>
      <c r="K339" s="698"/>
      <c r="L339" s="606"/>
      <c r="M339" s="607"/>
      <c r="N339" s="611"/>
      <c r="O339" s="612"/>
      <c r="P339" s="613"/>
      <c r="Q339" s="614"/>
      <c r="R339" s="741"/>
      <c r="S339" s="636"/>
      <c r="T339" s="743"/>
      <c r="U339" s="724"/>
      <c r="Y339" s="724"/>
      <c r="Z339" s="724"/>
      <c r="AA339" s="754"/>
      <c r="AB339" s="754"/>
      <c r="AC339" s="754"/>
      <c r="AD339" s="754"/>
      <c r="AE339" s="754"/>
      <c r="AF339" s="754"/>
      <c r="AG339" s="754"/>
      <c r="AH339" s="754"/>
      <c r="AI339" s="754"/>
      <c r="AJ339" s="754"/>
      <c r="AK339" s="754"/>
      <c r="AL339" s="754"/>
      <c r="AM339" s="754"/>
      <c r="AN339" s="754"/>
      <c r="AO339" s="754"/>
      <c r="AP339" s="754"/>
      <c r="AQ339" s="754"/>
      <c r="AR339" s="754"/>
      <c r="AS339" s="754"/>
      <c r="AT339" s="754"/>
      <c r="AU339" s="754"/>
      <c r="AV339" s="616"/>
      <c r="AW339" s="616"/>
      <c r="AX339" s="616"/>
      <c r="AY339" s="616"/>
      <c r="AZ339" s="616"/>
    </row>
    <row r="340" spans="2:52" x14ac:dyDescent="0.25">
      <c r="B340" s="606"/>
      <c r="C340" s="607"/>
      <c r="D340" s="608"/>
      <c r="E340" s="698"/>
      <c r="F340" s="698"/>
      <c r="G340" s="609"/>
      <c r="H340" s="610"/>
      <c r="I340" s="611"/>
      <c r="J340" s="698"/>
      <c r="K340" s="698"/>
      <c r="L340" s="606"/>
      <c r="M340" s="607"/>
      <c r="N340" s="611"/>
      <c r="O340" s="612"/>
      <c r="P340" s="613"/>
      <c r="Q340" s="614"/>
      <c r="R340" s="741"/>
      <c r="S340" s="636"/>
      <c r="T340" s="743"/>
      <c r="U340" s="724"/>
      <c r="Y340" s="724"/>
      <c r="Z340" s="724"/>
      <c r="AA340" s="754"/>
      <c r="AB340" s="754"/>
      <c r="AC340" s="754"/>
      <c r="AD340" s="754"/>
      <c r="AE340" s="754"/>
      <c r="AF340" s="754"/>
      <c r="AG340" s="754"/>
      <c r="AH340" s="754"/>
      <c r="AI340" s="754"/>
      <c r="AJ340" s="754"/>
      <c r="AK340" s="754"/>
      <c r="AL340" s="754"/>
      <c r="AM340" s="754"/>
      <c r="AN340" s="754"/>
      <c r="AO340" s="754"/>
      <c r="AP340" s="754"/>
      <c r="AQ340" s="754"/>
      <c r="AR340" s="754"/>
      <c r="AS340" s="754"/>
      <c r="AT340" s="754"/>
      <c r="AU340" s="754"/>
      <c r="AV340" s="616"/>
      <c r="AW340" s="616"/>
      <c r="AX340" s="616"/>
      <c r="AY340" s="616"/>
      <c r="AZ340" s="616"/>
    </row>
    <row r="341" spans="2:52" x14ac:dyDescent="0.25">
      <c r="B341" s="606"/>
      <c r="C341" s="607"/>
      <c r="D341" s="608"/>
      <c r="E341" s="698"/>
      <c r="F341" s="698"/>
      <c r="G341" s="609"/>
      <c r="H341" s="610"/>
      <c r="I341" s="611"/>
      <c r="J341" s="698"/>
      <c r="K341" s="698"/>
      <c r="L341" s="606"/>
      <c r="M341" s="607"/>
      <c r="N341" s="611"/>
      <c r="O341" s="612"/>
      <c r="P341" s="613"/>
      <c r="Q341" s="614"/>
      <c r="R341" s="741"/>
      <c r="S341" s="636"/>
      <c r="T341" s="743"/>
      <c r="U341" s="724"/>
      <c r="Y341" s="724"/>
      <c r="Z341" s="724"/>
      <c r="AA341" s="754"/>
      <c r="AB341" s="754"/>
      <c r="AC341" s="754"/>
      <c r="AD341" s="754"/>
      <c r="AE341" s="754"/>
      <c r="AF341" s="754"/>
      <c r="AG341" s="754"/>
      <c r="AH341" s="754"/>
      <c r="AI341" s="754"/>
      <c r="AJ341" s="754"/>
      <c r="AK341" s="754"/>
      <c r="AL341" s="754"/>
      <c r="AM341" s="754"/>
      <c r="AN341" s="754"/>
      <c r="AO341" s="754"/>
      <c r="AP341" s="754"/>
      <c r="AQ341" s="754"/>
      <c r="AR341" s="754"/>
      <c r="AS341" s="754"/>
      <c r="AT341" s="754"/>
      <c r="AU341" s="754"/>
      <c r="AV341" s="616"/>
      <c r="AW341" s="616"/>
      <c r="AX341" s="616"/>
      <c r="AY341" s="616"/>
      <c r="AZ341" s="616"/>
    </row>
    <row r="342" spans="2:52" x14ac:dyDescent="0.25">
      <c r="B342" s="606"/>
      <c r="C342" s="607"/>
      <c r="D342" s="608"/>
      <c r="E342" s="698"/>
      <c r="F342" s="698"/>
      <c r="G342" s="609"/>
      <c r="H342" s="610"/>
      <c r="I342" s="611"/>
      <c r="J342" s="698"/>
      <c r="K342" s="698"/>
      <c r="L342" s="606"/>
      <c r="M342" s="607"/>
      <c r="N342" s="611"/>
      <c r="O342" s="612"/>
      <c r="P342" s="613"/>
      <c r="Q342" s="614"/>
      <c r="R342" s="741"/>
      <c r="S342" s="636"/>
      <c r="T342" s="743"/>
      <c r="U342" s="724"/>
      <c r="Y342" s="724"/>
      <c r="Z342" s="724"/>
      <c r="AA342" s="754"/>
      <c r="AB342" s="754"/>
      <c r="AC342" s="754"/>
      <c r="AD342" s="754"/>
      <c r="AE342" s="754"/>
      <c r="AF342" s="754"/>
      <c r="AG342" s="754"/>
      <c r="AH342" s="754"/>
      <c r="AI342" s="754"/>
      <c r="AJ342" s="754"/>
      <c r="AK342" s="754"/>
      <c r="AL342" s="754"/>
      <c r="AM342" s="754"/>
      <c r="AN342" s="754"/>
      <c r="AO342" s="754"/>
      <c r="AP342" s="754"/>
      <c r="AQ342" s="754"/>
      <c r="AR342" s="754"/>
      <c r="AS342" s="754"/>
      <c r="AT342" s="754"/>
      <c r="AU342" s="754"/>
      <c r="AV342" s="616"/>
      <c r="AW342" s="616"/>
      <c r="AX342" s="616"/>
      <c r="AY342" s="616"/>
      <c r="AZ342" s="616"/>
    </row>
    <row r="343" spans="2:52" x14ac:dyDescent="0.25">
      <c r="B343" s="606"/>
      <c r="C343" s="607"/>
      <c r="D343" s="608"/>
      <c r="E343" s="698"/>
      <c r="F343" s="698"/>
      <c r="G343" s="609"/>
      <c r="H343" s="610"/>
      <c r="I343" s="611"/>
      <c r="J343" s="698"/>
      <c r="K343" s="698"/>
      <c r="L343" s="606"/>
      <c r="M343" s="607"/>
      <c r="N343" s="611"/>
      <c r="O343" s="612"/>
      <c r="P343" s="613"/>
      <c r="Q343" s="614"/>
      <c r="R343" s="741"/>
      <c r="S343" s="636"/>
      <c r="T343" s="743"/>
      <c r="U343" s="724"/>
      <c r="Y343" s="724"/>
      <c r="Z343" s="724"/>
      <c r="AA343" s="754"/>
      <c r="AB343" s="754"/>
      <c r="AC343" s="754"/>
      <c r="AD343" s="754"/>
      <c r="AE343" s="754"/>
      <c r="AF343" s="754"/>
      <c r="AG343" s="754"/>
      <c r="AH343" s="754"/>
      <c r="AI343" s="754"/>
      <c r="AJ343" s="754"/>
      <c r="AK343" s="754"/>
      <c r="AL343" s="754"/>
      <c r="AM343" s="754"/>
      <c r="AN343" s="754"/>
      <c r="AO343" s="754"/>
      <c r="AP343" s="754"/>
      <c r="AQ343" s="754"/>
      <c r="AR343" s="754"/>
      <c r="AS343" s="754"/>
      <c r="AT343" s="754"/>
      <c r="AU343" s="754"/>
      <c r="AV343" s="616"/>
      <c r="AW343" s="616"/>
      <c r="AX343" s="616"/>
      <c r="AY343" s="616"/>
      <c r="AZ343" s="616"/>
    </row>
    <row r="344" spans="2:52" x14ac:dyDescent="0.25">
      <c r="B344" s="606"/>
      <c r="C344" s="607"/>
      <c r="D344" s="608"/>
      <c r="E344" s="698"/>
      <c r="F344" s="698"/>
      <c r="G344" s="609"/>
      <c r="H344" s="610"/>
      <c r="I344" s="611"/>
      <c r="J344" s="698"/>
      <c r="K344" s="698"/>
      <c r="L344" s="606"/>
      <c r="M344" s="607"/>
      <c r="N344" s="611"/>
      <c r="O344" s="612"/>
      <c r="P344" s="613"/>
      <c r="Q344" s="614"/>
      <c r="R344" s="741"/>
      <c r="S344" s="636"/>
      <c r="T344" s="743"/>
      <c r="U344" s="724"/>
      <c r="Y344" s="724"/>
      <c r="Z344" s="724"/>
      <c r="AA344" s="754"/>
      <c r="AB344" s="754"/>
      <c r="AC344" s="754"/>
      <c r="AD344" s="754"/>
      <c r="AE344" s="754"/>
      <c r="AF344" s="754"/>
      <c r="AG344" s="754"/>
      <c r="AH344" s="754"/>
      <c r="AI344" s="754"/>
      <c r="AJ344" s="754"/>
      <c r="AK344" s="754"/>
      <c r="AL344" s="754"/>
      <c r="AM344" s="754"/>
      <c r="AN344" s="754"/>
      <c r="AO344" s="754"/>
      <c r="AP344" s="754"/>
      <c r="AQ344" s="754"/>
      <c r="AR344" s="754"/>
      <c r="AS344" s="754"/>
      <c r="AT344" s="754"/>
      <c r="AU344" s="754"/>
      <c r="AV344" s="616"/>
      <c r="AW344" s="616"/>
      <c r="AX344" s="616"/>
      <c r="AY344" s="616"/>
      <c r="AZ344" s="616"/>
    </row>
    <row r="345" spans="2:52" x14ac:dyDescent="0.25">
      <c r="B345" s="606"/>
      <c r="C345" s="607"/>
      <c r="D345" s="608"/>
      <c r="E345" s="698"/>
      <c r="F345" s="698"/>
      <c r="G345" s="609"/>
      <c r="H345" s="610"/>
      <c r="I345" s="611"/>
      <c r="J345" s="698"/>
      <c r="K345" s="698"/>
      <c r="L345" s="606"/>
      <c r="M345" s="607"/>
      <c r="N345" s="611"/>
      <c r="O345" s="612"/>
      <c r="P345" s="613"/>
      <c r="Q345" s="614"/>
      <c r="R345" s="741"/>
      <c r="S345" s="636"/>
      <c r="T345" s="743"/>
      <c r="U345" s="724"/>
      <c r="Y345" s="724"/>
      <c r="Z345" s="724"/>
      <c r="AA345" s="754"/>
      <c r="AB345" s="754"/>
      <c r="AC345" s="754"/>
      <c r="AD345" s="754"/>
      <c r="AE345" s="754"/>
      <c r="AF345" s="754"/>
      <c r="AG345" s="754"/>
      <c r="AH345" s="754"/>
      <c r="AI345" s="754"/>
      <c r="AJ345" s="754"/>
      <c r="AK345" s="754"/>
      <c r="AL345" s="754"/>
      <c r="AM345" s="754"/>
      <c r="AN345" s="754"/>
      <c r="AO345" s="754"/>
      <c r="AP345" s="754"/>
      <c r="AQ345" s="754"/>
      <c r="AR345" s="754"/>
      <c r="AS345" s="754"/>
      <c r="AT345" s="754"/>
      <c r="AU345" s="754"/>
      <c r="AV345" s="616"/>
      <c r="AW345" s="616"/>
      <c r="AX345" s="616"/>
      <c r="AY345" s="616"/>
      <c r="AZ345" s="616"/>
    </row>
    <row r="346" spans="2:52" x14ac:dyDescent="0.25">
      <c r="B346" s="606"/>
      <c r="C346" s="607"/>
      <c r="D346" s="608"/>
      <c r="E346" s="698"/>
      <c r="F346" s="698"/>
      <c r="G346" s="609"/>
      <c r="H346" s="610"/>
      <c r="I346" s="611"/>
      <c r="J346" s="698"/>
      <c r="K346" s="698"/>
      <c r="L346" s="606"/>
      <c r="M346" s="607"/>
      <c r="N346" s="611"/>
      <c r="O346" s="612"/>
      <c r="P346" s="613"/>
      <c r="Q346" s="614"/>
      <c r="R346" s="741"/>
      <c r="S346" s="636"/>
      <c r="T346" s="743"/>
      <c r="U346" s="724"/>
      <c r="Y346" s="724"/>
      <c r="Z346" s="724"/>
      <c r="AA346" s="754"/>
      <c r="AB346" s="754"/>
      <c r="AC346" s="754"/>
      <c r="AD346" s="754"/>
      <c r="AE346" s="754"/>
      <c r="AF346" s="754"/>
      <c r="AG346" s="754"/>
      <c r="AH346" s="754"/>
      <c r="AI346" s="754"/>
      <c r="AJ346" s="754"/>
      <c r="AK346" s="754"/>
      <c r="AL346" s="754"/>
      <c r="AM346" s="754"/>
      <c r="AN346" s="754"/>
      <c r="AO346" s="754"/>
      <c r="AP346" s="754"/>
      <c r="AQ346" s="754"/>
      <c r="AR346" s="754"/>
      <c r="AS346" s="754"/>
      <c r="AT346" s="754"/>
      <c r="AU346" s="754"/>
      <c r="AV346" s="616"/>
      <c r="AW346" s="616"/>
      <c r="AX346" s="616"/>
      <c r="AY346" s="616"/>
      <c r="AZ346" s="616"/>
    </row>
    <row r="347" spans="2:52" x14ac:dyDescent="0.25">
      <c r="B347" s="606"/>
      <c r="C347" s="607"/>
      <c r="D347" s="608"/>
      <c r="E347" s="698"/>
      <c r="F347" s="698"/>
      <c r="G347" s="609"/>
      <c r="H347" s="610"/>
      <c r="I347" s="611"/>
      <c r="J347" s="698"/>
      <c r="K347" s="698"/>
      <c r="L347" s="606"/>
      <c r="M347" s="607"/>
      <c r="N347" s="611"/>
      <c r="O347" s="612"/>
      <c r="P347" s="613"/>
      <c r="Q347" s="614"/>
      <c r="R347" s="741"/>
      <c r="S347" s="636"/>
      <c r="T347" s="743"/>
      <c r="U347" s="724"/>
      <c r="Y347" s="724"/>
      <c r="Z347" s="724"/>
      <c r="AA347" s="754"/>
      <c r="AB347" s="754"/>
      <c r="AC347" s="754"/>
      <c r="AD347" s="754"/>
      <c r="AE347" s="754"/>
      <c r="AF347" s="754"/>
      <c r="AG347" s="754"/>
      <c r="AH347" s="754"/>
      <c r="AI347" s="754"/>
      <c r="AJ347" s="754"/>
      <c r="AK347" s="754"/>
      <c r="AL347" s="754"/>
      <c r="AM347" s="754"/>
      <c r="AN347" s="754"/>
      <c r="AO347" s="754"/>
      <c r="AP347" s="754"/>
      <c r="AQ347" s="754"/>
      <c r="AR347" s="754"/>
      <c r="AS347" s="754"/>
      <c r="AT347" s="754"/>
      <c r="AU347" s="754"/>
      <c r="AV347" s="616"/>
      <c r="AW347" s="616"/>
      <c r="AX347" s="616"/>
      <c r="AY347" s="616"/>
      <c r="AZ347" s="616"/>
    </row>
    <row r="348" spans="2:52" x14ac:dyDescent="0.25">
      <c r="B348" s="606"/>
      <c r="C348" s="607"/>
      <c r="D348" s="608"/>
      <c r="E348" s="698"/>
      <c r="F348" s="698"/>
      <c r="G348" s="609"/>
      <c r="H348" s="610"/>
      <c r="I348" s="611"/>
      <c r="J348" s="698"/>
      <c r="K348" s="698"/>
      <c r="L348" s="606"/>
      <c r="M348" s="607"/>
      <c r="N348" s="611"/>
      <c r="O348" s="612"/>
      <c r="P348" s="613"/>
      <c r="Q348" s="614"/>
      <c r="R348" s="741"/>
      <c r="S348" s="636"/>
      <c r="T348" s="743"/>
      <c r="U348" s="724"/>
      <c r="Y348" s="724"/>
      <c r="Z348" s="724"/>
      <c r="AA348" s="754"/>
      <c r="AB348" s="754"/>
      <c r="AC348" s="754"/>
      <c r="AD348" s="754"/>
      <c r="AE348" s="754"/>
      <c r="AF348" s="754"/>
      <c r="AG348" s="754"/>
      <c r="AH348" s="754"/>
      <c r="AI348" s="754"/>
      <c r="AJ348" s="754"/>
      <c r="AK348" s="754"/>
      <c r="AL348" s="754"/>
      <c r="AM348" s="754"/>
      <c r="AN348" s="754"/>
      <c r="AO348" s="754"/>
      <c r="AP348" s="754"/>
      <c r="AQ348" s="754"/>
      <c r="AR348" s="754"/>
      <c r="AS348" s="754"/>
      <c r="AT348" s="754"/>
      <c r="AU348" s="754"/>
      <c r="AV348" s="616"/>
      <c r="AW348" s="616"/>
      <c r="AX348" s="616"/>
      <c r="AY348" s="616"/>
      <c r="AZ348" s="616"/>
    </row>
    <row r="349" spans="2:52" x14ac:dyDescent="0.25">
      <c r="B349" s="606"/>
      <c r="C349" s="607"/>
      <c r="D349" s="608"/>
      <c r="E349" s="698"/>
      <c r="F349" s="698"/>
      <c r="G349" s="609"/>
      <c r="H349" s="610"/>
      <c r="I349" s="611"/>
      <c r="J349" s="698"/>
      <c r="K349" s="698"/>
      <c r="L349" s="606"/>
      <c r="M349" s="607"/>
      <c r="N349" s="611"/>
      <c r="O349" s="612"/>
      <c r="P349" s="613"/>
      <c r="Q349" s="614"/>
      <c r="R349" s="741"/>
      <c r="S349" s="636"/>
      <c r="T349" s="743"/>
      <c r="U349" s="724"/>
      <c r="Y349" s="724"/>
      <c r="Z349" s="724"/>
      <c r="AA349" s="754"/>
      <c r="AB349" s="754"/>
      <c r="AC349" s="754"/>
      <c r="AD349" s="754"/>
      <c r="AE349" s="754"/>
      <c r="AF349" s="754"/>
      <c r="AG349" s="754"/>
      <c r="AH349" s="754"/>
      <c r="AI349" s="754"/>
      <c r="AJ349" s="754"/>
      <c r="AK349" s="754"/>
      <c r="AL349" s="754"/>
      <c r="AM349" s="754"/>
      <c r="AN349" s="754"/>
      <c r="AO349" s="754"/>
      <c r="AP349" s="754"/>
      <c r="AQ349" s="754"/>
      <c r="AR349" s="754"/>
      <c r="AS349" s="754"/>
      <c r="AT349" s="754"/>
      <c r="AU349" s="754"/>
      <c r="AV349" s="616"/>
      <c r="AW349" s="616"/>
      <c r="AX349" s="616"/>
      <c r="AY349" s="616"/>
      <c r="AZ349" s="616"/>
    </row>
    <row r="350" spans="2:52" x14ac:dyDescent="0.25">
      <c r="B350" s="606"/>
      <c r="C350" s="607"/>
      <c r="D350" s="608"/>
      <c r="E350" s="698"/>
      <c r="F350" s="698"/>
      <c r="G350" s="609"/>
      <c r="H350" s="610"/>
      <c r="I350" s="611"/>
      <c r="J350" s="698"/>
      <c r="K350" s="698"/>
      <c r="L350" s="606"/>
      <c r="M350" s="607"/>
      <c r="N350" s="611"/>
      <c r="O350" s="612"/>
      <c r="P350" s="613"/>
      <c r="Q350" s="614"/>
      <c r="R350" s="741"/>
      <c r="S350" s="636"/>
      <c r="T350" s="743"/>
      <c r="U350" s="724"/>
      <c r="Y350" s="724"/>
      <c r="Z350" s="724"/>
      <c r="AA350" s="754"/>
      <c r="AB350" s="754"/>
      <c r="AC350" s="754"/>
      <c r="AD350" s="754"/>
      <c r="AE350" s="754"/>
      <c r="AF350" s="754"/>
      <c r="AG350" s="754"/>
      <c r="AH350" s="754"/>
      <c r="AI350" s="754"/>
      <c r="AJ350" s="754"/>
      <c r="AK350" s="754"/>
      <c r="AL350" s="754"/>
      <c r="AM350" s="754"/>
      <c r="AN350" s="754"/>
      <c r="AO350" s="754"/>
      <c r="AP350" s="754"/>
      <c r="AQ350" s="754"/>
      <c r="AR350" s="754"/>
      <c r="AS350" s="754"/>
      <c r="AT350" s="754"/>
      <c r="AU350" s="754"/>
      <c r="AV350" s="616"/>
      <c r="AW350" s="616"/>
      <c r="AX350" s="616"/>
      <c r="AY350" s="616"/>
      <c r="AZ350" s="616"/>
    </row>
    <row r="351" spans="2:52" x14ac:dyDescent="0.25">
      <c r="B351" s="606"/>
      <c r="C351" s="607"/>
      <c r="D351" s="608"/>
      <c r="E351" s="698"/>
      <c r="F351" s="698"/>
      <c r="G351" s="609"/>
      <c r="H351" s="610"/>
      <c r="I351" s="611"/>
      <c r="J351" s="698"/>
      <c r="K351" s="698"/>
      <c r="L351" s="606"/>
      <c r="M351" s="607"/>
      <c r="N351" s="611"/>
      <c r="O351" s="612"/>
      <c r="P351" s="613"/>
      <c r="Q351" s="614"/>
      <c r="R351" s="741"/>
      <c r="S351" s="636"/>
      <c r="T351" s="743"/>
      <c r="U351" s="724"/>
      <c r="Y351" s="724"/>
      <c r="Z351" s="724"/>
      <c r="AA351" s="754"/>
      <c r="AB351" s="754"/>
      <c r="AC351" s="754"/>
      <c r="AD351" s="754"/>
      <c r="AE351" s="754"/>
      <c r="AF351" s="754"/>
      <c r="AG351" s="754"/>
      <c r="AH351" s="754"/>
      <c r="AI351" s="754"/>
      <c r="AJ351" s="754"/>
      <c r="AK351" s="754"/>
      <c r="AL351" s="754"/>
      <c r="AM351" s="754"/>
      <c r="AN351" s="754"/>
      <c r="AO351" s="754"/>
      <c r="AP351" s="754"/>
      <c r="AQ351" s="754"/>
      <c r="AR351" s="754"/>
      <c r="AS351" s="754"/>
      <c r="AT351" s="754"/>
      <c r="AU351" s="754"/>
      <c r="AV351" s="616"/>
      <c r="AW351" s="616"/>
      <c r="AX351" s="616"/>
      <c r="AY351" s="616"/>
      <c r="AZ351" s="616"/>
    </row>
    <row r="352" spans="2:52" x14ac:dyDescent="0.25">
      <c r="B352" s="606"/>
      <c r="C352" s="607"/>
      <c r="D352" s="608"/>
      <c r="E352" s="698"/>
      <c r="F352" s="698"/>
      <c r="G352" s="609"/>
      <c r="H352" s="610"/>
      <c r="I352" s="611"/>
      <c r="J352" s="698"/>
      <c r="K352" s="698"/>
      <c r="L352" s="606"/>
      <c r="M352" s="607"/>
      <c r="N352" s="611"/>
      <c r="O352" s="612"/>
      <c r="P352" s="613"/>
      <c r="Q352" s="614"/>
      <c r="R352" s="741"/>
      <c r="S352" s="636"/>
      <c r="T352" s="743"/>
      <c r="U352" s="724"/>
      <c r="Y352" s="724"/>
      <c r="Z352" s="724"/>
      <c r="AA352" s="754"/>
      <c r="AB352" s="754"/>
      <c r="AC352" s="754"/>
      <c r="AD352" s="754"/>
      <c r="AE352" s="754"/>
      <c r="AF352" s="754"/>
      <c r="AG352" s="754"/>
      <c r="AH352" s="754"/>
      <c r="AI352" s="754"/>
      <c r="AJ352" s="754"/>
      <c r="AK352" s="754"/>
      <c r="AL352" s="754"/>
      <c r="AM352" s="754"/>
      <c r="AN352" s="754"/>
      <c r="AO352" s="754"/>
      <c r="AP352" s="754"/>
      <c r="AQ352" s="754"/>
      <c r="AR352" s="754"/>
      <c r="AS352" s="754"/>
      <c r="AT352" s="754"/>
      <c r="AU352" s="754"/>
      <c r="AV352" s="616"/>
      <c r="AW352" s="616"/>
      <c r="AX352" s="616"/>
      <c r="AY352" s="616"/>
      <c r="AZ352" s="616"/>
    </row>
    <row r="353" spans="2:52" x14ac:dyDescent="0.25">
      <c r="B353" s="606"/>
      <c r="C353" s="607"/>
      <c r="D353" s="608"/>
      <c r="E353" s="698"/>
      <c r="F353" s="698"/>
      <c r="G353" s="609"/>
      <c r="H353" s="610"/>
      <c r="I353" s="611"/>
      <c r="J353" s="698"/>
      <c r="K353" s="698"/>
      <c r="L353" s="606"/>
      <c r="M353" s="607"/>
      <c r="N353" s="611"/>
      <c r="O353" s="612"/>
      <c r="P353" s="613"/>
      <c r="Q353" s="614"/>
      <c r="R353" s="741"/>
      <c r="S353" s="636"/>
      <c r="T353" s="743"/>
      <c r="U353" s="724"/>
      <c r="Y353" s="724"/>
      <c r="Z353" s="724"/>
      <c r="AA353" s="754"/>
      <c r="AB353" s="754"/>
      <c r="AC353" s="754"/>
      <c r="AD353" s="754"/>
      <c r="AE353" s="754"/>
      <c r="AF353" s="754"/>
      <c r="AG353" s="754"/>
      <c r="AH353" s="754"/>
      <c r="AI353" s="754"/>
      <c r="AJ353" s="754"/>
      <c r="AK353" s="754"/>
      <c r="AL353" s="754"/>
      <c r="AM353" s="754"/>
      <c r="AN353" s="754"/>
      <c r="AO353" s="754"/>
      <c r="AP353" s="754"/>
      <c r="AQ353" s="754"/>
      <c r="AR353" s="754"/>
      <c r="AS353" s="754"/>
      <c r="AT353" s="754"/>
      <c r="AU353" s="754"/>
      <c r="AV353" s="616"/>
      <c r="AW353" s="616"/>
      <c r="AX353" s="616"/>
      <c r="AY353" s="616"/>
      <c r="AZ353" s="616"/>
    </row>
    <row r="354" spans="2:52" x14ac:dyDescent="0.25">
      <c r="B354" s="606"/>
      <c r="C354" s="607"/>
      <c r="D354" s="608"/>
      <c r="E354" s="698"/>
      <c r="F354" s="698"/>
      <c r="G354" s="609"/>
      <c r="H354" s="610"/>
      <c r="I354" s="611"/>
      <c r="J354" s="698"/>
      <c r="K354" s="698"/>
      <c r="L354" s="606"/>
      <c r="M354" s="607"/>
      <c r="N354" s="611"/>
      <c r="O354" s="612"/>
      <c r="P354" s="613"/>
      <c r="Q354" s="614"/>
      <c r="R354" s="741"/>
      <c r="S354" s="636"/>
      <c r="T354" s="743"/>
      <c r="U354" s="724"/>
      <c r="Y354" s="724"/>
      <c r="Z354" s="724"/>
      <c r="AA354" s="754"/>
      <c r="AB354" s="754"/>
      <c r="AC354" s="754"/>
      <c r="AD354" s="754"/>
      <c r="AE354" s="754"/>
      <c r="AF354" s="754"/>
      <c r="AG354" s="754"/>
      <c r="AH354" s="754"/>
      <c r="AI354" s="754"/>
      <c r="AJ354" s="754"/>
      <c r="AK354" s="754"/>
      <c r="AL354" s="754"/>
      <c r="AM354" s="754"/>
      <c r="AN354" s="754"/>
      <c r="AO354" s="754"/>
      <c r="AP354" s="754"/>
      <c r="AQ354" s="754"/>
      <c r="AR354" s="754"/>
      <c r="AS354" s="754"/>
      <c r="AT354" s="754"/>
      <c r="AU354" s="754"/>
      <c r="AV354" s="616"/>
      <c r="AW354" s="616"/>
      <c r="AX354" s="616"/>
      <c r="AY354" s="616"/>
      <c r="AZ354" s="616"/>
    </row>
    <row r="355" spans="2:52" x14ac:dyDescent="0.25">
      <c r="B355" s="606"/>
      <c r="C355" s="607"/>
      <c r="D355" s="608"/>
      <c r="E355" s="698"/>
      <c r="F355" s="698"/>
      <c r="G355" s="609"/>
      <c r="H355" s="610"/>
      <c r="I355" s="611"/>
      <c r="J355" s="698"/>
      <c r="K355" s="698"/>
      <c r="L355" s="606"/>
      <c r="M355" s="607"/>
      <c r="N355" s="611"/>
      <c r="O355" s="612"/>
      <c r="P355" s="613"/>
      <c r="Q355" s="614"/>
      <c r="R355" s="741"/>
      <c r="S355" s="636"/>
      <c r="T355" s="743"/>
      <c r="U355" s="724"/>
      <c r="Y355" s="724"/>
      <c r="Z355" s="724"/>
      <c r="AA355" s="754"/>
      <c r="AB355" s="754"/>
      <c r="AC355" s="754"/>
      <c r="AD355" s="754"/>
      <c r="AE355" s="754"/>
      <c r="AF355" s="754"/>
      <c r="AG355" s="754"/>
      <c r="AH355" s="754"/>
      <c r="AI355" s="754"/>
      <c r="AJ355" s="754"/>
      <c r="AK355" s="754"/>
      <c r="AL355" s="754"/>
      <c r="AM355" s="754"/>
      <c r="AN355" s="754"/>
      <c r="AO355" s="754"/>
      <c r="AP355" s="754"/>
      <c r="AQ355" s="754"/>
      <c r="AR355" s="754"/>
      <c r="AS355" s="754"/>
      <c r="AT355" s="754"/>
      <c r="AU355" s="754"/>
      <c r="AV355" s="616"/>
      <c r="AW355" s="616"/>
      <c r="AX355" s="616"/>
      <c r="AY355" s="616"/>
      <c r="AZ355" s="616"/>
    </row>
    <row r="356" spans="2:52" x14ac:dyDescent="0.25">
      <c r="B356" s="606"/>
      <c r="C356" s="607"/>
      <c r="D356" s="608"/>
      <c r="E356" s="698"/>
      <c r="F356" s="698"/>
      <c r="G356" s="609"/>
      <c r="H356" s="610"/>
      <c r="I356" s="611"/>
      <c r="J356" s="698"/>
      <c r="K356" s="698"/>
      <c r="L356" s="606"/>
      <c r="M356" s="607"/>
      <c r="N356" s="611"/>
      <c r="O356" s="612"/>
      <c r="P356" s="613"/>
      <c r="Q356" s="614"/>
      <c r="R356" s="741"/>
      <c r="S356" s="636"/>
      <c r="T356" s="743"/>
      <c r="U356" s="724"/>
      <c r="Y356" s="724"/>
      <c r="Z356" s="724"/>
      <c r="AA356" s="754"/>
      <c r="AB356" s="754"/>
      <c r="AC356" s="754"/>
      <c r="AD356" s="754"/>
      <c r="AE356" s="754"/>
      <c r="AF356" s="754"/>
      <c r="AG356" s="754"/>
      <c r="AH356" s="754"/>
      <c r="AI356" s="754"/>
      <c r="AJ356" s="754"/>
      <c r="AK356" s="754"/>
      <c r="AL356" s="754"/>
      <c r="AM356" s="754"/>
      <c r="AN356" s="754"/>
      <c r="AO356" s="754"/>
      <c r="AP356" s="754"/>
      <c r="AQ356" s="754"/>
      <c r="AR356" s="754"/>
      <c r="AS356" s="754"/>
      <c r="AT356" s="754"/>
      <c r="AU356" s="754"/>
      <c r="AV356" s="616"/>
      <c r="AW356" s="616"/>
      <c r="AX356" s="616"/>
      <c r="AY356" s="616"/>
      <c r="AZ356" s="616"/>
    </row>
    <row r="357" spans="2:52" x14ac:dyDescent="0.25">
      <c r="B357" s="606"/>
      <c r="C357" s="607"/>
      <c r="D357" s="608"/>
      <c r="E357" s="698"/>
      <c r="F357" s="698"/>
      <c r="G357" s="609"/>
      <c r="H357" s="610"/>
      <c r="I357" s="611"/>
      <c r="J357" s="698"/>
      <c r="K357" s="698"/>
      <c r="L357" s="606"/>
      <c r="M357" s="607"/>
      <c r="N357" s="611"/>
      <c r="O357" s="612"/>
      <c r="P357" s="613"/>
      <c r="Q357" s="614"/>
      <c r="R357" s="741"/>
      <c r="S357" s="636"/>
      <c r="T357" s="743"/>
      <c r="U357" s="724"/>
      <c r="Y357" s="724"/>
      <c r="Z357" s="724"/>
      <c r="AA357" s="754"/>
      <c r="AB357" s="754"/>
      <c r="AC357" s="754"/>
      <c r="AD357" s="754"/>
      <c r="AE357" s="754"/>
      <c r="AF357" s="754"/>
      <c r="AG357" s="754"/>
      <c r="AH357" s="754"/>
      <c r="AI357" s="754"/>
      <c r="AJ357" s="754"/>
      <c r="AK357" s="754"/>
      <c r="AL357" s="754"/>
      <c r="AM357" s="754"/>
      <c r="AN357" s="754"/>
      <c r="AO357" s="754"/>
      <c r="AP357" s="754"/>
      <c r="AQ357" s="754"/>
      <c r="AR357" s="754"/>
      <c r="AS357" s="754"/>
      <c r="AT357" s="754"/>
      <c r="AU357" s="754"/>
      <c r="AV357" s="616"/>
      <c r="AW357" s="616"/>
      <c r="AX357" s="616"/>
      <c r="AY357" s="616"/>
      <c r="AZ357" s="616"/>
    </row>
    <row r="358" spans="2:52" x14ac:dyDescent="0.25">
      <c r="B358" s="606"/>
      <c r="C358" s="607"/>
      <c r="D358" s="608"/>
      <c r="E358" s="698"/>
      <c r="F358" s="698"/>
      <c r="G358" s="609"/>
      <c r="H358" s="610"/>
      <c r="I358" s="611"/>
      <c r="J358" s="698"/>
      <c r="K358" s="698"/>
      <c r="L358" s="606"/>
      <c r="M358" s="607"/>
      <c r="N358" s="611"/>
      <c r="O358" s="612"/>
      <c r="P358" s="613"/>
      <c r="Q358" s="614"/>
      <c r="R358" s="741"/>
      <c r="S358" s="636"/>
      <c r="T358" s="743"/>
      <c r="U358" s="724"/>
      <c r="Y358" s="724"/>
      <c r="Z358" s="724"/>
      <c r="AA358" s="754"/>
      <c r="AB358" s="754"/>
      <c r="AC358" s="754"/>
      <c r="AD358" s="754"/>
      <c r="AE358" s="754"/>
      <c r="AF358" s="754"/>
      <c r="AG358" s="754"/>
      <c r="AH358" s="754"/>
      <c r="AI358" s="754"/>
      <c r="AJ358" s="754"/>
      <c r="AK358" s="754"/>
      <c r="AL358" s="754"/>
      <c r="AM358" s="754"/>
      <c r="AN358" s="754"/>
      <c r="AO358" s="754"/>
      <c r="AP358" s="754"/>
      <c r="AQ358" s="754"/>
      <c r="AR358" s="754"/>
      <c r="AS358" s="754"/>
      <c r="AT358" s="754"/>
      <c r="AU358" s="754"/>
      <c r="AV358" s="616"/>
      <c r="AW358" s="616"/>
      <c r="AX358" s="616"/>
      <c r="AY358" s="616"/>
      <c r="AZ358" s="616"/>
    </row>
    <row r="359" spans="2:52" x14ac:dyDescent="0.25">
      <c r="B359" s="606"/>
      <c r="C359" s="607"/>
      <c r="D359" s="608"/>
      <c r="E359" s="698"/>
      <c r="F359" s="698"/>
      <c r="G359" s="609"/>
      <c r="H359" s="610"/>
      <c r="I359" s="611"/>
      <c r="J359" s="698"/>
      <c r="K359" s="698"/>
      <c r="L359" s="606"/>
      <c r="M359" s="607"/>
      <c r="N359" s="611"/>
      <c r="O359" s="612"/>
      <c r="P359" s="613"/>
      <c r="Q359" s="614"/>
      <c r="R359" s="741"/>
      <c r="S359" s="636"/>
      <c r="T359" s="743"/>
      <c r="U359" s="724"/>
      <c r="Y359" s="724"/>
      <c r="Z359" s="724"/>
      <c r="AA359" s="754"/>
      <c r="AB359" s="754"/>
      <c r="AC359" s="754"/>
      <c r="AD359" s="754"/>
      <c r="AE359" s="754"/>
      <c r="AF359" s="754"/>
      <c r="AG359" s="754"/>
      <c r="AH359" s="754"/>
      <c r="AI359" s="754"/>
      <c r="AJ359" s="754"/>
      <c r="AK359" s="754"/>
      <c r="AL359" s="754"/>
      <c r="AM359" s="754"/>
      <c r="AN359" s="754"/>
      <c r="AO359" s="754"/>
      <c r="AP359" s="754"/>
      <c r="AQ359" s="754"/>
      <c r="AR359" s="754"/>
      <c r="AS359" s="754"/>
      <c r="AT359" s="754"/>
      <c r="AU359" s="754"/>
      <c r="AV359" s="616"/>
      <c r="AW359" s="616"/>
      <c r="AX359" s="616"/>
      <c r="AY359" s="616"/>
      <c r="AZ359" s="616"/>
    </row>
    <row r="360" spans="2:52" x14ac:dyDescent="0.25">
      <c r="B360" s="606"/>
      <c r="C360" s="607"/>
      <c r="D360" s="608"/>
      <c r="E360" s="698"/>
      <c r="F360" s="698"/>
      <c r="G360" s="609"/>
      <c r="H360" s="610"/>
      <c r="I360" s="611"/>
      <c r="J360" s="698"/>
      <c r="K360" s="698"/>
      <c r="L360" s="606"/>
      <c r="M360" s="607"/>
      <c r="N360" s="611"/>
      <c r="O360" s="612"/>
      <c r="P360" s="613"/>
      <c r="Q360" s="614"/>
      <c r="R360" s="741"/>
      <c r="S360" s="636"/>
      <c r="T360" s="743"/>
      <c r="U360" s="724"/>
      <c r="Y360" s="724"/>
      <c r="Z360" s="724"/>
      <c r="AA360" s="754"/>
      <c r="AB360" s="754"/>
      <c r="AC360" s="754"/>
      <c r="AD360" s="754"/>
      <c r="AE360" s="754"/>
      <c r="AF360" s="754"/>
      <c r="AG360" s="754"/>
      <c r="AH360" s="754"/>
      <c r="AI360" s="754"/>
      <c r="AJ360" s="754"/>
      <c r="AK360" s="754"/>
      <c r="AL360" s="754"/>
      <c r="AM360" s="754"/>
      <c r="AN360" s="754"/>
      <c r="AO360" s="754"/>
      <c r="AP360" s="754"/>
      <c r="AQ360" s="754"/>
      <c r="AR360" s="754"/>
      <c r="AS360" s="754"/>
      <c r="AT360" s="754"/>
      <c r="AU360" s="754"/>
      <c r="AV360" s="616"/>
      <c r="AW360" s="616"/>
      <c r="AX360" s="616"/>
      <c r="AY360" s="616"/>
      <c r="AZ360" s="616"/>
    </row>
    <row r="361" spans="2:52" x14ac:dyDescent="0.25">
      <c r="B361" s="606"/>
      <c r="C361" s="607"/>
      <c r="D361" s="608"/>
      <c r="E361" s="698"/>
      <c r="F361" s="698"/>
      <c r="G361" s="609"/>
      <c r="H361" s="610"/>
      <c r="I361" s="611"/>
      <c r="J361" s="698"/>
      <c r="K361" s="698"/>
      <c r="L361" s="606"/>
      <c r="M361" s="607"/>
      <c r="N361" s="611"/>
      <c r="O361" s="612"/>
      <c r="P361" s="613"/>
      <c r="Q361" s="614"/>
      <c r="R361" s="741"/>
      <c r="S361" s="636"/>
      <c r="T361" s="743"/>
      <c r="U361" s="724"/>
      <c r="Y361" s="724"/>
      <c r="Z361" s="724"/>
      <c r="AA361" s="754"/>
      <c r="AB361" s="754"/>
      <c r="AC361" s="754"/>
      <c r="AD361" s="754"/>
      <c r="AE361" s="754"/>
      <c r="AF361" s="754"/>
      <c r="AG361" s="754"/>
      <c r="AH361" s="754"/>
      <c r="AI361" s="754"/>
      <c r="AJ361" s="754"/>
      <c r="AK361" s="754"/>
      <c r="AL361" s="754"/>
      <c r="AM361" s="754"/>
      <c r="AN361" s="754"/>
      <c r="AO361" s="754"/>
      <c r="AP361" s="754"/>
      <c r="AQ361" s="754"/>
      <c r="AR361" s="754"/>
      <c r="AS361" s="754"/>
      <c r="AT361" s="754"/>
      <c r="AU361" s="754"/>
      <c r="AV361" s="616"/>
      <c r="AW361" s="616"/>
      <c r="AX361" s="616"/>
      <c r="AY361" s="616"/>
      <c r="AZ361" s="616"/>
    </row>
    <row r="362" spans="2:52" x14ac:dyDescent="0.25">
      <c r="B362" s="606"/>
      <c r="C362" s="607"/>
      <c r="D362" s="608"/>
      <c r="E362" s="698"/>
      <c r="F362" s="698"/>
      <c r="G362" s="609"/>
      <c r="H362" s="610"/>
      <c r="I362" s="611"/>
      <c r="J362" s="698"/>
      <c r="K362" s="698"/>
      <c r="L362" s="606"/>
      <c r="M362" s="607"/>
      <c r="N362" s="611"/>
      <c r="O362" s="612"/>
      <c r="P362" s="613"/>
      <c r="Q362" s="614"/>
      <c r="R362" s="741"/>
      <c r="S362" s="636"/>
      <c r="T362" s="743"/>
      <c r="U362" s="724"/>
      <c r="Y362" s="724"/>
      <c r="Z362" s="724"/>
      <c r="AA362" s="754"/>
      <c r="AB362" s="754"/>
      <c r="AC362" s="754"/>
      <c r="AD362" s="754"/>
      <c r="AE362" s="754"/>
      <c r="AF362" s="754"/>
      <c r="AG362" s="754"/>
      <c r="AH362" s="754"/>
      <c r="AI362" s="754"/>
      <c r="AJ362" s="754"/>
      <c r="AK362" s="754"/>
      <c r="AL362" s="754"/>
      <c r="AM362" s="754"/>
      <c r="AN362" s="754"/>
      <c r="AO362" s="754"/>
      <c r="AP362" s="754"/>
      <c r="AQ362" s="754"/>
      <c r="AR362" s="754"/>
      <c r="AS362" s="754"/>
      <c r="AT362" s="754"/>
      <c r="AU362" s="754"/>
      <c r="AV362" s="616"/>
      <c r="AW362" s="616"/>
      <c r="AX362" s="616"/>
      <c r="AY362" s="616"/>
      <c r="AZ362" s="616"/>
    </row>
    <row r="363" spans="2:52" x14ac:dyDescent="0.25">
      <c r="B363" s="606"/>
      <c r="C363" s="607"/>
      <c r="D363" s="608"/>
      <c r="E363" s="698"/>
      <c r="F363" s="698"/>
      <c r="G363" s="609"/>
      <c r="H363" s="610"/>
      <c r="I363" s="611"/>
      <c r="J363" s="698"/>
      <c r="K363" s="698"/>
      <c r="L363" s="606"/>
      <c r="M363" s="607"/>
      <c r="N363" s="611"/>
      <c r="O363" s="612"/>
      <c r="P363" s="613"/>
      <c r="Q363" s="614"/>
      <c r="R363" s="741"/>
      <c r="S363" s="636"/>
      <c r="T363" s="743"/>
      <c r="U363" s="724"/>
      <c r="Y363" s="724"/>
      <c r="Z363" s="724"/>
      <c r="AA363" s="754"/>
      <c r="AB363" s="754"/>
      <c r="AC363" s="754"/>
      <c r="AD363" s="754"/>
      <c r="AE363" s="754"/>
      <c r="AF363" s="754"/>
      <c r="AG363" s="754"/>
      <c r="AH363" s="754"/>
      <c r="AI363" s="754"/>
      <c r="AJ363" s="754"/>
      <c r="AK363" s="754"/>
      <c r="AL363" s="754"/>
      <c r="AM363" s="754"/>
      <c r="AN363" s="754"/>
      <c r="AO363" s="754"/>
      <c r="AP363" s="754"/>
      <c r="AQ363" s="754"/>
      <c r="AR363" s="754"/>
      <c r="AS363" s="754"/>
      <c r="AT363" s="754"/>
      <c r="AU363" s="754"/>
      <c r="AV363" s="616"/>
      <c r="AW363" s="616"/>
      <c r="AX363" s="616"/>
      <c r="AY363" s="616"/>
      <c r="AZ363" s="616"/>
    </row>
    <row r="364" spans="2:52" x14ac:dyDescent="0.25">
      <c r="B364" s="606"/>
      <c r="C364" s="607"/>
      <c r="D364" s="608"/>
      <c r="E364" s="698"/>
      <c r="F364" s="698"/>
      <c r="G364" s="609"/>
      <c r="H364" s="610"/>
      <c r="I364" s="611"/>
      <c r="J364" s="698"/>
      <c r="K364" s="698"/>
      <c r="L364" s="606"/>
      <c r="M364" s="607"/>
      <c r="N364" s="611"/>
      <c r="O364" s="612"/>
      <c r="P364" s="613"/>
      <c r="Q364" s="614"/>
      <c r="R364" s="741"/>
      <c r="S364" s="636"/>
      <c r="T364" s="743"/>
      <c r="U364" s="724"/>
      <c r="Y364" s="724"/>
      <c r="Z364" s="724"/>
      <c r="AA364" s="754"/>
      <c r="AB364" s="754"/>
      <c r="AC364" s="754"/>
      <c r="AD364" s="754"/>
      <c r="AE364" s="754"/>
      <c r="AF364" s="754"/>
      <c r="AG364" s="754"/>
      <c r="AH364" s="754"/>
      <c r="AI364" s="754"/>
      <c r="AJ364" s="754"/>
      <c r="AK364" s="754"/>
      <c r="AL364" s="754"/>
      <c r="AM364" s="754"/>
      <c r="AN364" s="754"/>
      <c r="AO364" s="754"/>
      <c r="AP364" s="754"/>
      <c r="AQ364" s="754"/>
      <c r="AR364" s="754"/>
      <c r="AS364" s="754"/>
      <c r="AT364" s="754"/>
      <c r="AU364" s="754"/>
      <c r="AV364" s="616"/>
      <c r="AW364" s="616"/>
      <c r="AX364" s="616"/>
      <c r="AY364" s="616"/>
      <c r="AZ364" s="616"/>
    </row>
    <row r="365" spans="2:52" x14ac:dyDescent="0.25">
      <c r="B365" s="606"/>
      <c r="C365" s="607"/>
      <c r="D365" s="608"/>
      <c r="E365" s="698"/>
      <c r="F365" s="698"/>
      <c r="G365" s="609"/>
      <c r="H365" s="610"/>
      <c r="I365" s="611"/>
      <c r="J365" s="698"/>
      <c r="K365" s="698"/>
      <c r="L365" s="606"/>
      <c r="M365" s="607"/>
      <c r="N365" s="611"/>
      <c r="O365" s="612"/>
      <c r="P365" s="613"/>
      <c r="Q365" s="614"/>
      <c r="R365" s="741"/>
      <c r="S365" s="636"/>
      <c r="T365" s="743"/>
      <c r="U365" s="724"/>
      <c r="Y365" s="724"/>
      <c r="Z365" s="724"/>
      <c r="AA365" s="754"/>
      <c r="AB365" s="754"/>
      <c r="AC365" s="754"/>
      <c r="AD365" s="754"/>
      <c r="AE365" s="754"/>
      <c r="AF365" s="754"/>
      <c r="AG365" s="754"/>
      <c r="AH365" s="754"/>
      <c r="AI365" s="754"/>
      <c r="AJ365" s="754"/>
      <c r="AK365" s="754"/>
      <c r="AL365" s="754"/>
      <c r="AM365" s="754"/>
      <c r="AN365" s="754"/>
      <c r="AO365" s="754"/>
      <c r="AP365" s="754"/>
      <c r="AQ365" s="754"/>
      <c r="AR365" s="754"/>
      <c r="AS365" s="754"/>
      <c r="AT365" s="754"/>
      <c r="AU365" s="754"/>
      <c r="AV365" s="616"/>
      <c r="AW365" s="616"/>
      <c r="AX365" s="616"/>
      <c r="AY365" s="616"/>
      <c r="AZ365" s="616"/>
    </row>
    <row r="366" spans="2:52" x14ac:dyDescent="0.25">
      <c r="B366" s="606"/>
      <c r="C366" s="607"/>
      <c r="D366" s="608"/>
      <c r="E366" s="698"/>
      <c r="F366" s="698"/>
      <c r="G366" s="609"/>
      <c r="H366" s="610"/>
      <c r="I366" s="611"/>
      <c r="J366" s="698"/>
      <c r="K366" s="698"/>
      <c r="L366" s="606"/>
      <c r="M366" s="607"/>
      <c r="N366" s="611"/>
      <c r="O366" s="612"/>
      <c r="P366" s="613"/>
      <c r="Q366" s="614"/>
      <c r="R366" s="741"/>
      <c r="S366" s="636"/>
      <c r="T366" s="743"/>
      <c r="U366" s="724"/>
      <c r="Y366" s="724"/>
      <c r="Z366" s="724"/>
      <c r="AA366" s="754"/>
      <c r="AB366" s="754"/>
      <c r="AC366" s="754"/>
      <c r="AD366" s="754"/>
      <c r="AE366" s="754"/>
      <c r="AF366" s="754"/>
      <c r="AG366" s="754"/>
      <c r="AH366" s="754"/>
      <c r="AI366" s="754"/>
      <c r="AJ366" s="754"/>
      <c r="AK366" s="754"/>
      <c r="AL366" s="754"/>
      <c r="AM366" s="754"/>
      <c r="AN366" s="754"/>
      <c r="AO366" s="754"/>
      <c r="AP366" s="754"/>
      <c r="AQ366" s="754"/>
      <c r="AR366" s="754"/>
      <c r="AS366" s="754"/>
      <c r="AT366" s="754"/>
      <c r="AU366" s="754"/>
      <c r="AV366" s="616"/>
      <c r="AW366" s="616"/>
      <c r="AX366" s="616"/>
      <c r="AY366" s="616"/>
      <c r="AZ366" s="616"/>
    </row>
    <row r="367" spans="2:52" x14ac:dyDescent="0.25">
      <c r="B367" s="606"/>
      <c r="C367" s="607"/>
      <c r="D367" s="608"/>
      <c r="E367" s="698"/>
      <c r="F367" s="698"/>
      <c r="G367" s="609"/>
      <c r="H367" s="610"/>
      <c r="I367" s="611"/>
      <c r="J367" s="698"/>
      <c r="K367" s="698"/>
      <c r="L367" s="606"/>
      <c r="M367" s="607"/>
      <c r="N367" s="611"/>
      <c r="O367" s="612"/>
      <c r="P367" s="613"/>
      <c r="Q367" s="614"/>
      <c r="R367" s="741"/>
      <c r="S367" s="636"/>
      <c r="T367" s="743"/>
      <c r="U367" s="724"/>
      <c r="Y367" s="724"/>
      <c r="Z367" s="724"/>
      <c r="AA367" s="754"/>
      <c r="AB367" s="754"/>
      <c r="AC367" s="754"/>
      <c r="AD367" s="754"/>
      <c r="AE367" s="754"/>
      <c r="AF367" s="754"/>
      <c r="AG367" s="754"/>
      <c r="AH367" s="754"/>
      <c r="AI367" s="754"/>
      <c r="AJ367" s="754"/>
      <c r="AK367" s="754"/>
      <c r="AL367" s="754"/>
      <c r="AM367" s="754"/>
      <c r="AN367" s="754"/>
      <c r="AO367" s="754"/>
      <c r="AP367" s="754"/>
      <c r="AQ367" s="754"/>
      <c r="AR367" s="754"/>
      <c r="AS367" s="754"/>
      <c r="AT367" s="754"/>
      <c r="AU367" s="754"/>
      <c r="AV367" s="616"/>
      <c r="AW367" s="616"/>
      <c r="AX367" s="616"/>
      <c r="AY367" s="616"/>
      <c r="AZ367" s="616"/>
    </row>
    <row r="368" spans="2:52" x14ac:dyDescent="0.25">
      <c r="B368" s="606"/>
      <c r="C368" s="607"/>
      <c r="D368" s="608"/>
      <c r="E368" s="698"/>
      <c r="F368" s="698"/>
      <c r="G368" s="609"/>
      <c r="H368" s="610"/>
      <c r="I368" s="611"/>
      <c r="J368" s="698"/>
      <c r="K368" s="698"/>
      <c r="L368" s="606"/>
      <c r="M368" s="607"/>
      <c r="N368" s="611"/>
      <c r="O368" s="612"/>
      <c r="P368" s="613"/>
      <c r="Q368" s="614"/>
      <c r="R368" s="741"/>
      <c r="S368" s="636"/>
      <c r="T368" s="743"/>
      <c r="U368" s="724"/>
      <c r="Y368" s="724"/>
      <c r="Z368" s="724"/>
      <c r="AA368" s="754"/>
      <c r="AB368" s="754"/>
      <c r="AC368" s="754"/>
      <c r="AD368" s="754"/>
      <c r="AE368" s="754"/>
      <c r="AF368" s="754"/>
      <c r="AG368" s="754"/>
      <c r="AH368" s="754"/>
      <c r="AI368" s="754"/>
      <c r="AJ368" s="754"/>
      <c r="AK368" s="754"/>
      <c r="AL368" s="754"/>
      <c r="AM368" s="754"/>
      <c r="AN368" s="754"/>
      <c r="AO368" s="754"/>
      <c r="AP368" s="754"/>
      <c r="AQ368" s="754"/>
      <c r="AR368" s="754"/>
      <c r="AS368" s="754"/>
      <c r="AT368" s="754"/>
      <c r="AU368" s="754"/>
      <c r="AV368" s="616"/>
      <c r="AW368" s="616"/>
      <c r="AX368" s="616"/>
      <c r="AY368" s="616"/>
      <c r="AZ368" s="616"/>
    </row>
    <row r="369" spans="2:52" x14ac:dyDescent="0.25">
      <c r="B369" s="606"/>
      <c r="C369" s="607"/>
      <c r="D369" s="608"/>
      <c r="E369" s="698"/>
      <c r="F369" s="698"/>
      <c r="G369" s="609"/>
      <c r="H369" s="610"/>
      <c r="I369" s="611"/>
      <c r="J369" s="698"/>
      <c r="K369" s="698"/>
      <c r="L369" s="606"/>
      <c r="M369" s="607"/>
      <c r="N369" s="611"/>
      <c r="O369" s="612"/>
      <c r="P369" s="613"/>
      <c r="Q369" s="614"/>
      <c r="R369" s="741"/>
      <c r="S369" s="636"/>
      <c r="T369" s="743"/>
      <c r="U369" s="724"/>
      <c r="Y369" s="724"/>
      <c r="Z369" s="724"/>
      <c r="AA369" s="754"/>
      <c r="AB369" s="754"/>
      <c r="AC369" s="754"/>
      <c r="AD369" s="754"/>
      <c r="AE369" s="754"/>
      <c r="AF369" s="754"/>
      <c r="AG369" s="754"/>
      <c r="AH369" s="754"/>
      <c r="AI369" s="754"/>
      <c r="AJ369" s="754"/>
      <c r="AK369" s="754"/>
      <c r="AL369" s="754"/>
      <c r="AM369" s="754"/>
      <c r="AN369" s="754"/>
      <c r="AO369" s="754"/>
      <c r="AP369" s="754"/>
      <c r="AQ369" s="754"/>
      <c r="AR369" s="754"/>
      <c r="AS369" s="754"/>
      <c r="AT369" s="754"/>
      <c r="AU369" s="754"/>
      <c r="AV369" s="616"/>
      <c r="AW369" s="616"/>
      <c r="AX369" s="616"/>
      <c r="AY369" s="616"/>
      <c r="AZ369" s="616"/>
    </row>
    <row r="370" spans="2:52" x14ac:dyDescent="0.25">
      <c r="B370" s="606"/>
      <c r="C370" s="607"/>
      <c r="D370" s="608"/>
      <c r="E370" s="698"/>
      <c r="F370" s="698"/>
      <c r="G370" s="609"/>
      <c r="H370" s="610"/>
      <c r="I370" s="611"/>
      <c r="J370" s="698"/>
      <c r="K370" s="698"/>
      <c r="L370" s="606"/>
      <c r="M370" s="607"/>
      <c r="N370" s="611"/>
      <c r="O370" s="612"/>
      <c r="P370" s="613"/>
      <c r="Q370" s="614"/>
      <c r="R370" s="741"/>
      <c r="S370" s="636"/>
      <c r="T370" s="743"/>
      <c r="U370" s="724"/>
      <c r="Y370" s="724"/>
      <c r="Z370" s="724"/>
      <c r="AA370" s="754"/>
      <c r="AB370" s="754"/>
      <c r="AC370" s="754"/>
      <c r="AD370" s="754"/>
      <c r="AE370" s="754"/>
      <c r="AF370" s="754"/>
      <c r="AG370" s="754"/>
      <c r="AH370" s="754"/>
      <c r="AI370" s="754"/>
      <c r="AJ370" s="754"/>
      <c r="AK370" s="754"/>
      <c r="AL370" s="754"/>
      <c r="AM370" s="754"/>
      <c r="AN370" s="754"/>
      <c r="AO370" s="754"/>
      <c r="AP370" s="754"/>
      <c r="AQ370" s="754"/>
      <c r="AR370" s="754"/>
      <c r="AS370" s="754"/>
      <c r="AT370" s="754"/>
      <c r="AU370" s="754"/>
      <c r="AV370" s="616"/>
      <c r="AW370" s="616"/>
      <c r="AX370" s="616"/>
      <c r="AY370" s="616"/>
      <c r="AZ370" s="616"/>
    </row>
    <row r="371" spans="2:52" x14ac:dyDescent="0.25">
      <c r="B371" s="606"/>
      <c r="C371" s="607"/>
      <c r="D371" s="608"/>
      <c r="E371" s="698"/>
      <c r="F371" s="698"/>
      <c r="G371" s="609"/>
      <c r="H371" s="610"/>
      <c r="I371" s="611"/>
      <c r="J371" s="698"/>
      <c r="K371" s="698"/>
      <c r="L371" s="606"/>
      <c r="M371" s="607"/>
      <c r="N371" s="611"/>
      <c r="O371" s="612"/>
      <c r="P371" s="613"/>
      <c r="Q371" s="614"/>
      <c r="R371" s="741"/>
      <c r="S371" s="636"/>
      <c r="T371" s="743"/>
      <c r="U371" s="724"/>
      <c r="Y371" s="724"/>
      <c r="Z371" s="724"/>
      <c r="AA371" s="754"/>
      <c r="AB371" s="754"/>
      <c r="AC371" s="754"/>
      <c r="AD371" s="754"/>
      <c r="AE371" s="754"/>
      <c r="AF371" s="754"/>
      <c r="AG371" s="754"/>
      <c r="AH371" s="754"/>
      <c r="AI371" s="754"/>
      <c r="AJ371" s="754"/>
      <c r="AK371" s="754"/>
      <c r="AL371" s="754"/>
      <c r="AM371" s="754"/>
      <c r="AN371" s="754"/>
      <c r="AO371" s="754"/>
      <c r="AP371" s="754"/>
      <c r="AQ371" s="754"/>
      <c r="AR371" s="754"/>
      <c r="AS371" s="754"/>
      <c r="AT371" s="754"/>
      <c r="AU371" s="754"/>
      <c r="AV371" s="616"/>
      <c r="AW371" s="616"/>
      <c r="AX371" s="616"/>
      <c r="AY371" s="616"/>
      <c r="AZ371" s="616"/>
    </row>
    <row r="372" spans="2:52" x14ac:dyDescent="0.25">
      <c r="B372" s="606"/>
      <c r="C372" s="607"/>
      <c r="D372" s="608"/>
      <c r="E372" s="698"/>
      <c r="F372" s="698"/>
      <c r="G372" s="609"/>
      <c r="H372" s="610"/>
      <c r="I372" s="611"/>
      <c r="J372" s="698"/>
      <c r="K372" s="698"/>
      <c r="L372" s="606"/>
      <c r="M372" s="607"/>
      <c r="N372" s="611"/>
      <c r="O372" s="612"/>
      <c r="P372" s="613"/>
      <c r="Q372" s="614"/>
      <c r="R372" s="741"/>
      <c r="S372" s="636"/>
      <c r="T372" s="743"/>
      <c r="U372" s="724"/>
      <c r="Y372" s="724"/>
      <c r="Z372" s="724"/>
      <c r="AA372" s="754"/>
      <c r="AB372" s="754"/>
      <c r="AC372" s="754"/>
      <c r="AD372" s="754"/>
      <c r="AE372" s="754"/>
      <c r="AF372" s="754"/>
      <c r="AG372" s="754"/>
      <c r="AH372" s="754"/>
      <c r="AI372" s="754"/>
      <c r="AJ372" s="754"/>
      <c r="AK372" s="754"/>
      <c r="AL372" s="754"/>
      <c r="AM372" s="754"/>
      <c r="AN372" s="754"/>
      <c r="AO372" s="754"/>
      <c r="AP372" s="754"/>
      <c r="AQ372" s="754"/>
      <c r="AR372" s="754"/>
      <c r="AS372" s="754"/>
      <c r="AT372" s="754"/>
      <c r="AU372" s="754"/>
      <c r="AV372" s="616"/>
      <c r="AW372" s="616"/>
      <c r="AX372" s="616"/>
      <c r="AY372" s="616"/>
      <c r="AZ372" s="616"/>
    </row>
    <row r="373" spans="2:52" x14ac:dyDescent="0.25">
      <c r="B373" s="606"/>
      <c r="C373" s="607"/>
      <c r="D373" s="608"/>
      <c r="E373" s="698"/>
      <c r="F373" s="698"/>
      <c r="G373" s="609"/>
      <c r="H373" s="610"/>
      <c r="I373" s="611"/>
      <c r="J373" s="698"/>
      <c r="K373" s="698"/>
      <c r="L373" s="606"/>
      <c r="M373" s="607"/>
      <c r="N373" s="611"/>
      <c r="O373" s="612"/>
      <c r="P373" s="613"/>
      <c r="Q373" s="614"/>
      <c r="R373" s="741"/>
      <c r="S373" s="636"/>
      <c r="T373" s="743"/>
      <c r="U373" s="724"/>
      <c r="Y373" s="724"/>
      <c r="Z373" s="724"/>
      <c r="AA373" s="754"/>
      <c r="AB373" s="754"/>
      <c r="AC373" s="754"/>
      <c r="AD373" s="754"/>
      <c r="AE373" s="754"/>
      <c r="AF373" s="754"/>
      <c r="AG373" s="754"/>
      <c r="AH373" s="754"/>
      <c r="AI373" s="754"/>
      <c r="AJ373" s="754"/>
      <c r="AK373" s="754"/>
      <c r="AL373" s="754"/>
      <c r="AM373" s="754"/>
      <c r="AN373" s="754"/>
      <c r="AO373" s="754"/>
      <c r="AP373" s="754"/>
      <c r="AQ373" s="754"/>
      <c r="AR373" s="754"/>
      <c r="AS373" s="754"/>
      <c r="AT373" s="754"/>
      <c r="AU373" s="754"/>
      <c r="AV373" s="616"/>
      <c r="AW373" s="616"/>
      <c r="AX373" s="616"/>
      <c r="AY373" s="616"/>
      <c r="AZ373" s="616"/>
    </row>
    <row r="374" spans="2:52" x14ac:dyDescent="0.25">
      <c r="B374" s="606"/>
      <c r="C374" s="607"/>
      <c r="D374" s="608"/>
      <c r="E374" s="698"/>
      <c r="F374" s="698"/>
      <c r="G374" s="609"/>
      <c r="H374" s="610"/>
      <c r="I374" s="611"/>
      <c r="J374" s="698"/>
      <c r="K374" s="698"/>
      <c r="L374" s="606"/>
      <c r="M374" s="607"/>
      <c r="N374" s="611"/>
      <c r="O374" s="612"/>
      <c r="P374" s="613"/>
      <c r="Q374" s="614"/>
      <c r="R374" s="741"/>
      <c r="S374" s="636"/>
      <c r="T374" s="743"/>
      <c r="U374" s="724"/>
      <c r="Y374" s="724"/>
      <c r="Z374" s="724"/>
      <c r="AA374" s="754"/>
      <c r="AB374" s="754"/>
      <c r="AC374" s="754"/>
      <c r="AD374" s="754"/>
      <c r="AE374" s="754"/>
      <c r="AF374" s="754"/>
      <c r="AG374" s="754"/>
      <c r="AH374" s="754"/>
      <c r="AI374" s="754"/>
      <c r="AJ374" s="754"/>
      <c r="AK374" s="754"/>
      <c r="AL374" s="754"/>
      <c r="AM374" s="754"/>
      <c r="AN374" s="754"/>
      <c r="AO374" s="754"/>
      <c r="AP374" s="754"/>
      <c r="AQ374" s="754"/>
      <c r="AR374" s="754"/>
      <c r="AS374" s="754"/>
      <c r="AT374" s="754"/>
      <c r="AU374" s="754"/>
      <c r="AV374" s="616"/>
      <c r="AW374" s="616"/>
      <c r="AX374" s="616"/>
      <c r="AY374" s="616"/>
      <c r="AZ374" s="616"/>
    </row>
    <row r="375" spans="2:52" x14ac:dyDescent="0.25">
      <c r="B375" s="606"/>
      <c r="C375" s="607"/>
      <c r="D375" s="608"/>
      <c r="E375" s="698"/>
      <c r="F375" s="698"/>
      <c r="G375" s="609"/>
      <c r="H375" s="610"/>
      <c r="I375" s="611"/>
      <c r="J375" s="698"/>
      <c r="K375" s="698"/>
      <c r="L375" s="606"/>
      <c r="M375" s="607"/>
      <c r="N375" s="611"/>
      <c r="O375" s="612"/>
      <c r="P375" s="613"/>
      <c r="Q375" s="614"/>
      <c r="R375" s="741"/>
      <c r="S375" s="636"/>
      <c r="T375" s="743"/>
      <c r="U375" s="724"/>
      <c r="Y375" s="724"/>
      <c r="Z375" s="724"/>
      <c r="AA375" s="754"/>
      <c r="AB375" s="754"/>
      <c r="AC375" s="754"/>
      <c r="AD375" s="754"/>
      <c r="AE375" s="754"/>
      <c r="AF375" s="754"/>
      <c r="AG375" s="754"/>
      <c r="AH375" s="754"/>
      <c r="AI375" s="754"/>
      <c r="AJ375" s="754"/>
      <c r="AK375" s="754"/>
      <c r="AL375" s="754"/>
      <c r="AM375" s="754"/>
      <c r="AN375" s="754"/>
      <c r="AO375" s="754"/>
      <c r="AP375" s="754"/>
      <c r="AQ375" s="754"/>
      <c r="AR375" s="754"/>
      <c r="AS375" s="754"/>
      <c r="AT375" s="754"/>
      <c r="AU375" s="754"/>
      <c r="AV375" s="616"/>
      <c r="AW375" s="616"/>
      <c r="AX375" s="616"/>
      <c r="AY375" s="616"/>
      <c r="AZ375" s="616"/>
    </row>
    <row r="376" spans="2:52" x14ac:dyDescent="0.25">
      <c r="B376" s="606"/>
      <c r="C376" s="607"/>
      <c r="D376" s="608"/>
      <c r="E376" s="698"/>
      <c r="F376" s="698"/>
      <c r="G376" s="609"/>
      <c r="H376" s="610"/>
      <c r="I376" s="611"/>
      <c r="J376" s="698"/>
      <c r="K376" s="698"/>
      <c r="L376" s="606"/>
      <c r="M376" s="607"/>
      <c r="N376" s="611"/>
      <c r="O376" s="612"/>
      <c r="P376" s="613"/>
      <c r="Q376" s="614"/>
      <c r="R376" s="741"/>
      <c r="S376" s="636"/>
      <c r="T376" s="743"/>
      <c r="U376" s="724"/>
      <c r="Y376" s="724"/>
      <c r="Z376" s="724"/>
      <c r="AA376" s="754"/>
      <c r="AB376" s="754"/>
      <c r="AC376" s="754"/>
      <c r="AD376" s="754"/>
      <c r="AE376" s="754"/>
      <c r="AF376" s="754"/>
      <c r="AG376" s="754"/>
      <c r="AH376" s="754"/>
      <c r="AI376" s="754"/>
      <c r="AJ376" s="754"/>
      <c r="AK376" s="754"/>
      <c r="AL376" s="754"/>
      <c r="AM376" s="754"/>
      <c r="AN376" s="754"/>
      <c r="AO376" s="754"/>
      <c r="AP376" s="754"/>
      <c r="AQ376" s="754"/>
      <c r="AR376" s="754"/>
      <c r="AS376" s="754"/>
      <c r="AT376" s="754"/>
      <c r="AU376" s="754"/>
      <c r="AV376" s="616"/>
      <c r="AW376" s="616"/>
      <c r="AX376" s="616"/>
      <c r="AY376" s="616"/>
      <c r="AZ376" s="616"/>
    </row>
    <row r="377" spans="2:52" x14ac:dyDescent="0.25">
      <c r="B377" s="642"/>
      <c r="C377" s="607"/>
      <c r="D377" s="608"/>
      <c r="E377" s="605"/>
      <c r="F377" s="605"/>
      <c r="G377" s="643"/>
      <c r="H377" s="644"/>
      <c r="I377" s="645"/>
      <c r="J377" s="605"/>
      <c r="K377" s="605"/>
      <c r="L377" s="642"/>
      <c r="M377" s="646"/>
      <c r="N377" s="645"/>
      <c r="O377" s="647"/>
      <c r="P377" s="648"/>
      <c r="Q377" s="604"/>
      <c r="AA377" s="754"/>
      <c r="AB377" s="754"/>
      <c r="AC377" s="754"/>
      <c r="AD377" s="754"/>
      <c r="AE377" s="754"/>
      <c r="AF377" s="754"/>
      <c r="AG377" s="754"/>
      <c r="AH377" s="754"/>
      <c r="AI377" s="754"/>
      <c r="AJ377" s="754"/>
      <c r="AK377" s="754"/>
      <c r="AL377" s="754"/>
      <c r="AM377" s="754"/>
      <c r="AN377" s="754"/>
      <c r="AO377" s="754"/>
      <c r="AP377" s="754"/>
      <c r="AQ377" s="754"/>
      <c r="AR377" s="754"/>
      <c r="AS377" s="754"/>
      <c r="AT377" s="754"/>
      <c r="AU377" s="754"/>
      <c r="AV377" s="616"/>
      <c r="AW377" s="616"/>
      <c r="AX377" s="616"/>
      <c r="AY377" s="616"/>
      <c r="AZ377" s="616"/>
    </row>
    <row r="378" spans="2:52" x14ac:dyDescent="0.25">
      <c r="B378" s="642"/>
      <c r="C378" s="607"/>
      <c r="D378" s="608"/>
      <c r="E378" s="605"/>
      <c r="F378" s="605"/>
      <c r="G378" s="643"/>
      <c r="H378" s="644"/>
      <c r="I378" s="645"/>
      <c r="J378" s="605"/>
      <c r="K378" s="605"/>
      <c r="L378" s="642"/>
      <c r="M378" s="646"/>
      <c r="N378" s="645"/>
      <c r="O378" s="647"/>
      <c r="P378" s="648"/>
      <c r="Q378" s="604"/>
      <c r="AA378" s="754"/>
      <c r="AB378" s="754"/>
      <c r="AC378" s="754"/>
      <c r="AD378" s="754"/>
      <c r="AE378" s="754"/>
      <c r="AF378" s="754"/>
      <c r="AG378" s="754"/>
      <c r="AH378" s="754"/>
      <c r="AI378" s="754"/>
      <c r="AJ378" s="754"/>
      <c r="AK378" s="754"/>
      <c r="AL378" s="754"/>
      <c r="AM378" s="754"/>
      <c r="AN378" s="754"/>
      <c r="AO378" s="754"/>
      <c r="AP378" s="754"/>
      <c r="AQ378" s="754"/>
      <c r="AR378" s="754"/>
      <c r="AS378" s="754"/>
      <c r="AT378" s="754"/>
      <c r="AU378" s="754"/>
      <c r="AV378" s="616"/>
      <c r="AW378" s="616"/>
      <c r="AX378" s="616"/>
      <c r="AY378" s="616"/>
      <c r="AZ378" s="616"/>
    </row>
    <row r="379" spans="2:52" x14ac:dyDescent="0.25">
      <c r="B379" s="642"/>
      <c r="C379" s="607"/>
      <c r="D379" s="608"/>
      <c r="E379" s="605"/>
      <c r="F379" s="605"/>
      <c r="G379" s="643"/>
      <c r="H379" s="644"/>
      <c r="I379" s="645"/>
      <c r="J379" s="605"/>
      <c r="K379" s="605"/>
      <c r="L379" s="642"/>
      <c r="M379" s="646"/>
      <c r="N379" s="645"/>
      <c r="O379" s="647"/>
      <c r="P379" s="648"/>
      <c r="Q379" s="604"/>
      <c r="AA379" s="754"/>
      <c r="AB379" s="754"/>
      <c r="AC379" s="754"/>
      <c r="AD379" s="754"/>
      <c r="AE379" s="754"/>
      <c r="AF379" s="754"/>
      <c r="AG379" s="754"/>
      <c r="AH379" s="754"/>
      <c r="AI379" s="754"/>
      <c r="AJ379" s="754"/>
      <c r="AK379" s="754"/>
      <c r="AL379" s="754"/>
      <c r="AM379" s="754"/>
      <c r="AN379" s="754"/>
      <c r="AO379" s="754"/>
      <c r="AP379" s="754"/>
      <c r="AQ379" s="754"/>
      <c r="AR379" s="754"/>
      <c r="AS379" s="754"/>
      <c r="AT379" s="754"/>
      <c r="AU379" s="754"/>
      <c r="AV379" s="616"/>
      <c r="AW379" s="616"/>
      <c r="AX379" s="616"/>
      <c r="AY379" s="616"/>
      <c r="AZ379" s="616"/>
    </row>
    <row r="380" spans="2:52" x14ac:dyDescent="0.25">
      <c r="B380" s="642"/>
      <c r="C380" s="607"/>
      <c r="D380" s="608"/>
      <c r="E380" s="605"/>
      <c r="F380" s="605"/>
      <c r="G380" s="643"/>
      <c r="H380" s="644"/>
      <c r="I380" s="645"/>
      <c r="J380" s="605"/>
      <c r="K380" s="605"/>
      <c r="L380" s="642"/>
      <c r="M380" s="646"/>
      <c r="N380" s="645"/>
      <c r="O380" s="647"/>
      <c r="P380" s="648"/>
      <c r="Q380" s="604"/>
      <c r="AA380" s="754"/>
      <c r="AB380" s="754"/>
      <c r="AC380" s="754"/>
      <c r="AD380" s="754"/>
      <c r="AE380" s="754"/>
      <c r="AF380" s="754"/>
      <c r="AG380" s="754"/>
      <c r="AH380" s="754"/>
      <c r="AI380" s="754"/>
      <c r="AJ380" s="754"/>
      <c r="AK380" s="754"/>
      <c r="AL380" s="754"/>
      <c r="AM380" s="754"/>
      <c r="AN380" s="754"/>
      <c r="AO380" s="754"/>
      <c r="AP380" s="754"/>
      <c r="AQ380" s="754"/>
      <c r="AR380" s="754"/>
      <c r="AS380" s="754"/>
      <c r="AT380" s="754"/>
      <c r="AU380" s="754"/>
      <c r="AV380" s="616"/>
      <c r="AW380" s="616"/>
      <c r="AX380" s="616"/>
      <c r="AY380" s="616"/>
      <c r="AZ380" s="616"/>
    </row>
    <row r="381" spans="2:52" x14ac:dyDescent="0.25">
      <c r="B381" s="642"/>
      <c r="C381" s="607"/>
      <c r="D381" s="608"/>
      <c r="E381" s="605"/>
      <c r="F381" s="605"/>
      <c r="G381" s="643"/>
      <c r="H381" s="644"/>
      <c r="I381" s="645"/>
      <c r="J381" s="605"/>
      <c r="K381" s="605"/>
      <c r="L381" s="642"/>
      <c r="M381" s="646"/>
      <c r="N381" s="645"/>
      <c r="O381" s="647"/>
      <c r="P381" s="648"/>
      <c r="Q381" s="604"/>
      <c r="AA381" s="754"/>
      <c r="AB381" s="754"/>
      <c r="AC381" s="754"/>
      <c r="AD381" s="754"/>
      <c r="AE381" s="754"/>
      <c r="AF381" s="754"/>
      <c r="AG381" s="754"/>
      <c r="AH381" s="754"/>
      <c r="AI381" s="754"/>
      <c r="AJ381" s="754"/>
      <c r="AK381" s="754"/>
      <c r="AL381" s="754"/>
      <c r="AM381" s="754"/>
      <c r="AN381" s="754"/>
      <c r="AO381" s="754"/>
      <c r="AP381" s="754"/>
      <c r="AQ381" s="754"/>
      <c r="AR381" s="754"/>
      <c r="AS381" s="754"/>
      <c r="AT381" s="754"/>
      <c r="AU381" s="754"/>
      <c r="AV381" s="616"/>
      <c r="AW381" s="616"/>
      <c r="AX381" s="616"/>
      <c r="AY381" s="616"/>
      <c r="AZ381" s="616"/>
    </row>
    <row r="382" spans="2:52" x14ac:dyDescent="0.25">
      <c r="B382" s="642"/>
      <c r="C382" s="607"/>
      <c r="D382" s="608"/>
      <c r="E382" s="605"/>
      <c r="F382" s="605"/>
      <c r="G382" s="643"/>
      <c r="H382" s="644"/>
      <c r="I382" s="645"/>
      <c r="J382" s="605"/>
      <c r="K382" s="605"/>
      <c r="L382" s="642"/>
      <c r="M382" s="646"/>
      <c r="N382" s="645"/>
      <c r="O382" s="647"/>
      <c r="P382" s="648"/>
      <c r="Q382" s="604"/>
      <c r="AA382" s="754"/>
      <c r="AB382" s="754"/>
      <c r="AC382" s="754"/>
      <c r="AD382" s="754"/>
      <c r="AE382" s="754"/>
      <c r="AF382" s="754"/>
      <c r="AG382" s="754"/>
      <c r="AH382" s="754"/>
      <c r="AI382" s="754"/>
      <c r="AJ382" s="754"/>
      <c r="AK382" s="754"/>
      <c r="AL382" s="754"/>
      <c r="AM382" s="754"/>
      <c r="AN382" s="754"/>
      <c r="AO382" s="754"/>
      <c r="AP382" s="754"/>
      <c r="AQ382" s="754"/>
      <c r="AR382" s="754"/>
      <c r="AS382" s="754"/>
      <c r="AT382" s="754"/>
      <c r="AU382" s="754"/>
      <c r="AV382" s="616"/>
      <c r="AW382" s="616"/>
      <c r="AX382" s="616"/>
      <c r="AY382" s="616"/>
      <c r="AZ382" s="616"/>
    </row>
    <row r="383" spans="2:52" x14ac:dyDescent="0.25">
      <c r="B383" s="642"/>
      <c r="C383" s="607"/>
      <c r="D383" s="608"/>
      <c r="E383" s="605"/>
      <c r="F383" s="605"/>
      <c r="G383" s="643"/>
      <c r="H383" s="644"/>
      <c r="I383" s="645"/>
      <c r="J383" s="605"/>
      <c r="K383" s="605"/>
      <c r="L383" s="642"/>
      <c r="M383" s="646"/>
      <c r="N383" s="645"/>
      <c r="O383" s="647"/>
      <c r="P383" s="648"/>
      <c r="Q383" s="604"/>
      <c r="AA383" s="754"/>
      <c r="AB383" s="754"/>
      <c r="AC383" s="754"/>
      <c r="AD383" s="754"/>
      <c r="AE383" s="754"/>
      <c r="AF383" s="754"/>
      <c r="AG383" s="754"/>
      <c r="AH383" s="754"/>
      <c r="AI383" s="754"/>
      <c r="AJ383" s="754"/>
      <c r="AK383" s="754"/>
      <c r="AL383" s="754"/>
      <c r="AM383" s="754"/>
      <c r="AN383" s="754"/>
      <c r="AO383" s="754"/>
      <c r="AP383" s="754"/>
      <c r="AQ383" s="754"/>
      <c r="AR383" s="754"/>
      <c r="AS383" s="754"/>
      <c r="AT383" s="754"/>
      <c r="AU383" s="754"/>
      <c r="AV383" s="616"/>
      <c r="AW383" s="616"/>
      <c r="AX383" s="616"/>
      <c r="AY383" s="616"/>
      <c r="AZ383" s="616"/>
    </row>
    <row r="384" spans="2:52" x14ac:dyDescent="0.25">
      <c r="B384" s="642"/>
      <c r="C384" s="607"/>
      <c r="D384" s="608"/>
      <c r="E384" s="605"/>
      <c r="F384" s="605"/>
      <c r="G384" s="643"/>
      <c r="H384" s="644"/>
      <c r="I384" s="645"/>
      <c r="J384" s="605"/>
      <c r="K384" s="605"/>
      <c r="L384" s="642"/>
      <c r="M384" s="646"/>
      <c r="N384" s="645"/>
      <c r="O384" s="647"/>
      <c r="P384" s="648"/>
      <c r="Q384" s="604"/>
      <c r="AA384" s="754"/>
      <c r="AB384" s="754"/>
      <c r="AC384" s="754"/>
      <c r="AD384" s="754"/>
      <c r="AE384" s="754"/>
      <c r="AF384" s="754"/>
      <c r="AG384" s="754"/>
      <c r="AH384" s="754"/>
      <c r="AI384" s="754"/>
      <c r="AJ384" s="754"/>
      <c r="AK384" s="754"/>
      <c r="AL384" s="754"/>
      <c r="AM384" s="754"/>
      <c r="AN384" s="754"/>
      <c r="AO384" s="754"/>
      <c r="AP384" s="754"/>
      <c r="AQ384" s="754"/>
      <c r="AR384" s="754"/>
      <c r="AS384" s="754"/>
      <c r="AT384" s="754"/>
      <c r="AU384" s="754"/>
      <c r="AV384" s="616"/>
      <c r="AW384" s="616"/>
      <c r="AX384" s="616"/>
      <c r="AY384" s="616"/>
      <c r="AZ384" s="616"/>
    </row>
    <row r="385" spans="2:52" x14ac:dyDescent="0.25">
      <c r="B385" s="642"/>
      <c r="C385" s="607"/>
      <c r="D385" s="608"/>
      <c r="E385" s="605"/>
      <c r="F385" s="605"/>
      <c r="G385" s="643"/>
      <c r="H385" s="644"/>
      <c r="I385" s="645"/>
      <c r="J385" s="605"/>
      <c r="K385" s="605"/>
      <c r="L385" s="642"/>
      <c r="M385" s="646"/>
      <c r="N385" s="645"/>
      <c r="O385" s="647"/>
      <c r="P385" s="648"/>
      <c r="Q385" s="604"/>
      <c r="AA385" s="754"/>
      <c r="AB385" s="754"/>
      <c r="AC385" s="754"/>
      <c r="AD385" s="754"/>
      <c r="AE385" s="754"/>
      <c r="AF385" s="754"/>
      <c r="AG385" s="754"/>
      <c r="AH385" s="754"/>
      <c r="AI385" s="754"/>
      <c r="AJ385" s="754"/>
      <c r="AK385" s="754"/>
      <c r="AL385" s="754"/>
      <c r="AM385" s="754"/>
      <c r="AN385" s="754"/>
      <c r="AO385" s="754"/>
      <c r="AP385" s="754"/>
      <c r="AQ385" s="754"/>
      <c r="AR385" s="754"/>
      <c r="AS385" s="754"/>
      <c r="AT385" s="754"/>
      <c r="AU385" s="754"/>
      <c r="AV385" s="616"/>
      <c r="AW385" s="616"/>
      <c r="AX385" s="616"/>
      <c r="AY385" s="616"/>
      <c r="AZ385" s="616"/>
    </row>
    <row r="386" spans="2:52" x14ac:dyDescent="0.25">
      <c r="B386" s="642"/>
      <c r="C386" s="607"/>
      <c r="D386" s="608"/>
      <c r="E386" s="605"/>
      <c r="F386" s="605"/>
      <c r="G386" s="643"/>
      <c r="H386" s="644"/>
      <c r="I386" s="645"/>
      <c r="J386" s="605"/>
      <c r="K386" s="605"/>
      <c r="L386" s="642"/>
      <c r="M386" s="646"/>
      <c r="N386" s="645"/>
      <c r="O386" s="647"/>
      <c r="P386" s="648"/>
      <c r="Q386" s="604"/>
      <c r="AA386" s="754"/>
      <c r="AB386" s="754"/>
      <c r="AC386" s="754"/>
      <c r="AD386" s="754"/>
      <c r="AE386" s="754"/>
      <c r="AF386" s="754"/>
      <c r="AG386" s="754"/>
      <c r="AH386" s="754"/>
      <c r="AI386" s="754"/>
      <c r="AJ386" s="754"/>
      <c r="AK386" s="754"/>
      <c r="AL386" s="754"/>
      <c r="AM386" s="754"/>
      <c r="AN386" s="754"/>
      <c r="AO386" s="754"/>
      <c r="AP386" s="754"/>
      <c r="AQ386" s="754"/>
      <c r="AR386" s="754"/>
      <c r="AS386" s="754"/>
      <c r="AT386" s="754"/>
      <c r="AU386" s="754"/>
      <c r="AV386" s="616"/>
      <c r="AW386" s="616"/>
      <c r="AX386" s="616"/>
      <c r="AY386" s="616"/>
      <c r="AZ386" s="616"/>
    </row>
    <row r="387" spans="2:52" x14ac:dyDescent="0.25">
      <c r="B387" s="642"/>
      <c r="C387" s="607"/>
      <c r="D387" s="608"/>
      <c r="E387" s="605"/>
      <c r="F387" s="605"/>
      <c r="G387" s="643"/>
      <c r="H387" s="644"/>
      <c r="I387" s="645"/>
      <c r="J387" s="605"/>
      <c r="K387" s="605"/>
      <c r="L387" s="642"/>
      <c r="M387" s="646"/>
      <c r="N387" s="645"/>
      <c r="O387" s="647"/>
      <c r="P387" s="648"/>
      <c r="Q387" s="604"/>
      <c r="AA387" s="754"/>
      <c r="AB387" s="754"/>
      <c r="AC387" s="754"/>
      <c r="AD387" s="754"/>
      <c r="AE387" s="754"/>
      <c r="AF387" s="754"/>
      <c r="AG387" s="754"/>
      <c r="AH387" s="754"/>
      <c r="AI387" s="754"/>
      <c r="AJ387" s="754"/>
      <c r="AK387" s="754"/>
      <c r="AL387" s="754"/>
      <c r="AM387" s="754"/>
      <c r="AN387" s="754"/>
      <c r="AO387" s="754"/>
      <c r="AP387" s="754"/>
      <c r="AQ387" s="754"/>
      <c r="AR387" s="754"/>
      <c r="AS387" s="754"/>
      <c r="AT387" s="754"/>
      <c r="AU387" s="754"/>
      <c r="AV387" s="616"/>
      <c r="AW387" s="616"/>
      <c r="AX387" s="616"/>
      <c r="AY387" s="616"/>
      <c r="AZ387" s="616"/>
    </row>
    <row r="388" spans="2:52" x14ac:dyDescent="0.25">
      <c r="B388" s="642"/>
      <c r="C388" s="607"/>
      <c r="D388" s="608"/>
      <c r="E388" s="605"/>
      <c r="F388" s="605"/>
      <c r="G388" s="643"/>
      <c r="H388" s="644"/>
      <c r="I388" s="645"/>
      <c r="J388" s="605"/>
      <c r="K388" s="605"/>
      <c r="L388" s="642"/>
      <c r="M388" s="646"/>
      <c r="N388" s="645"/>
      <c r="O388" s="647"/>
      <c r="P388" s="648"/>
      <c r="Q388" s="604"/>
      <c r="AA388" s="754"/>
      <c r="AB388" s="754"/>
      <c r="AC388" s="754"/>
      <c r="AD388" s="754"/>
      <c r="AE388" s="754"/>
      <c r="AF388" s="754"/>
      <c r="AG388" s="754"/>
      <c r="AH388" s="754"/>
      <c r="AI388" s="754"/>
      <c r="AJ388" s="754"/>
      <c r="AK388" s="754"/>
      <c r="AL388" s="754"/>
      <c r="AM388" s="754"/>
      <c r="AN388" s="754"/>
      <c r="AO388" s="754"/>
      <c r="AP388" s="754"/>
      <c r="AQ388" s="754"/>
      <c r="AR388" s="754"/>
      <c r="AS388" s="754"/>
      <c r="AT388" s="754"/>
      <c r="AU388" s="754"/>
      <c r="AV388" s="616"/>
      <c r="AW388" s="616"/>
      <c r="AX388" s="616"/>
      <c r="AY388" s="616"/>
      <c r="AZ388" s="616"/>
    </row>
    <row r="389" spans="2:52" x14ac:dyDescent="0.25">
      <c r="B389" s="642"/>
      <c r="C389" s="607"/>
      <c r="D389" s="608"/>
      <c r="E389" s="605"/>
      <c r="F389" s="605"/>
      <c r="G389" s="643"/>
      <c r="H389" s="644"/>
      <c r="I389" s="645"/>
      <c r="J389" s="605"/>
      <c r="K389" s="605"/>
      <c r="L389" s="642"/>
      <c r="M389" s="646"/>
      <c r="N389" s="645"/>
      <c r="O389" s="647"/>
      <c r="P389" s="648"/>
      <c r="Q389" s="604"/>
      <c r="AA389" s="754"/>
      <c r="AB389" s="754"/>
      <c r="AC389" s="754"/>
      <c r="AD389" s="754"/>
      <c r="AE389" s="754"/>
      <c r="AF389" s="754"/>
      <c r="AG389" s="754"/>
      <c r="AH389" s="754"/>
      <c r="AI389" s="754"/>
      <c r="AJ389" s="754"/>
      <c r="AK389" s="754"/>
      <c r="AL389" s="754"/>
      <c r="AM389" s="754"/>
      <c r="AN389" s="754"/>
      <c r="AO389" s="754"/>
      <c r="AP389" s="754"/>
      <c r="AQ389" s="754"/>
      <c r="AR389" s="754"/>
      <c r="AS389" s="754"/>
      <c r="AT389" s="754"/>
      <c r="AU389" s="754"/>
      <c r="AV389" s="616"/>
      <c r="AW389" s="616"/>
      <c r="AX389" s="616"/>
      <c r="AY389" s="616"/>
      <c r="AZ389" s="616"/>
    </row>
    <row r="390" spans="2:52" x14ac:dyDescent="0.25">
      <c r="B390" s="642"/>
      <c r="C390" s="607"/>
      <c r="D390" s="608"/>
      <c r="E390" s="605"/>
      <c r="F390" s="605"/>
      <c r="G390" s="643"/>
      <c r="H390" s="644"/>
      <c r="I390" s="645"/>
      <c r="J390" s="605"/>
      <c r="K390" s="605"/>
      <c r="L390" s="642"/>
      <c r="M390" s="646"/>
      <c r="N390" s="645"/>
      <c r="O390" s="647"/>
      <c r="P390" s="648"/>
      <c r="Q390" s="604"/>
      <c r="AA390" s="754"/>
      <c r="AB390" s="754"/>
      <c r="AC390" s="754"/>
      <c r="AD390" s="754"/>
      <c r="AE390" s="754"/>
      <c r="AF390" s="754"/>
      <c r="AG390" s="754"/>
      <c r="AH390" s="754"/>
      <c r="AI390" s="754"/>
      <c r="AJ390" s="754"/>
      <c r="AK390" s="754"/>
      <c r="AL390" s="754"/>
      <c r="AM390" s="754"/>
      <c r="AN390" s="754"/>
      <c r="AO390" s="754"/>
      <c r="AP390" s="754"/>
      <c r="AQ390" s="754"/>
      <c r="AR390" s="754"/>
      <c r="AS390" s="754"/>
      <c r="AT390" s="754"/>
      <c r="AU390" s="754"/>
      <c r="AV390" s="616"/>
      <c r="AW390" s="616"/>
      <c r="AX390" s="616"/>
      <c r="AY390" s="616"/>
      <c r="AZ390" s="616"/>
    </row>
    <row r="391" spans="2:52" x14ac:dyDescent="0.25">
      <c r="C391" s="824"/>
      <c r="AA391" s="754"/>
      <c r="AB391" s="754"/>
      <c r="AC391" s="754"/>
      <c r="AD391" s="754"/>
      <c r="AE391" s="754"/>
      <c r="AF391" s="754"/>
      <c r="AG391" s="754"/>
      <c r="AH391" s="754"/>
      <c r="AI391" s="754"/>
      <c r="AJ391" s="754"/>
      <c r="AK391" s="754"/>
      <c r="AL391" s="754"/>
      <c r="AM391" s="754"/>
      <c r="AN391" s="754"/>
      <c r="AO391" s="754"/>
      <c r="AP391" s="754"/>
      <c r="AQ391" s="754"/>
      <c r="AR391" s="754"/>
      <c r="AS391" s="754"/>
      <c r="AT391" s="754"/>
      <c r="AU391" s="754"/>
      <c r="AV391" s="616"/>
      <c r="AW391" s="616"/>
      <c r="AX391" s="616"/>
      <c r="AY391" s="616"/>
      <c r="AZ391" s="616"/>
    </row>
    <row r="392" spans="2:52" x14ac:dyDescent="0.25">
      <c r="C392" s="824"/>
      <c r="AA392" s="754"/>
      <c r="AB392" s="754"/>
      <c r="AC392" s="754"/>
      <c r="AD392" s="754"/>
      <c r="AE392" s="754"/>
      <c r="AF392" s="754"/>
      <c r="AG392" s="754"/>
      <c r="AH392" s="754"/>
      <c r="AI392" s="754"/>
      <c r="AJ392" s="754"/>
      <c r="AK392" s="754"/>
      <c r="AL392" s="754"/>
      <c r="AM392" s="754"/>
      <c r="AN392" s="754"/>
      <c r="AO392" s="754"/>
      <c r="AP392" s="754"/>
      <c r="AQ392" s="754"/>
      <c r="AR392" s="754"/>
      <c r="AS392" s="754"/>
      <c r="AT392" s="754"/>
      <c r="AU392" s="754"/>
      <c r="AV392" s="616"/>
      <c r="AW392" s="616"/>
      <c r="AX392" s="616"/>
      <c r="AY392" s="616"/>
      <c r="AZ392" s="616"/>
    </row>
    <row r="393" spans="2:52" x14ac:dyDescent="0.25">
      <c r="C393" s="824"/>
      <c r="AA393" s="754"/>
      <c r="AB393" s="754"/>
      <c r="AC393" s="754"/>
      <c r="AD393" s="754"/>
      <c r="AE393" s="754"/>
      <c r="AF393" s="754"/>
      <c r="AG393" s="754"/>
      <c r="AH393" s="754"/>
      <c r="AI393" s="754"/>
      <c r="AJ393" s="754"/>
      <c r="AK393" s="754"/>
      <c r="AL393" s="754"/>
      <c r="AM393" s="754"/>
      <c r="AN393" s="754"/>
      <c r="AO393" s="754"/>
      <c r="AP393" s="754"/>
      <c r="AQ393" s="754"/>
      <c r="AR393" s="754"/>
      <c r="AS393" s="754"/>
      <c r="AT393" s="754"/>
      <c r="AU393" s="754"/>
      <c r="AV393" s="616"/>
      <c r="AW393" s="616"/>
      <c r="AX393" s="616"/>
      <c r="AY393" s="616"/>
      <c r="AZ393" s="616"/>
    </row>
    <row r="394" spans="2:52" x14ac:dyDescent="0.25">
      <c r="C394" s="824"/>
      <c r="AA394" s="754"/>
      <c r="AB394" s="754"/>
      <c r="AC394" s="754"/>
      <c r="AD394" s="754"/>
      <c r="AE394" s="754"/>
      <c r="AF394" s="754"/>
      <c r="AG394" s="754"/>
      <c r="AH394" s="754"/>
      <c r="AI394" s="754"/>
      <c r="AJ394" s="754"/>
      <c r="AK394" s="754"/>
      <c r="AL394" s="754"/>
      <c r="AM394" s="754"/>
      <c r="AN394" s="754"/>
      <c r="AO394" s="754"/>
      <c r="AP394" s="754"/>
      <c r="AQ394" s="754"/>
      <c r="AR394" s="754"/>
      <c r="AS394" s="754"/>
      <c r="AT394" s="754"/>
      <c r="AU394" s="754"/>
      <c r="AV394" s="616"/>
      <c r="AW394" s="616"/>
      <c r="AX394" s="616"/>
      <c r="AY394" s="616"/>
      <c r="AZ394" s="616"/>
    </row>
    <row r="395" spans="2:52" x14ac:dyDescent="0.25">
      <c r="C395" s="824"/>
      <c r="AA395" s="754"/>
      <c r="AB395" s="754"/>
      <c r="AC395" s="754"/>
      <c r="AD395" s="754"/>
      <c r="AE395" s="754"/>
      <c r="AF395" s="754"/>
      <c r="AG395" s="754"/>
      <c r="AH395" s="754"/>
      <c r="AI395" s="754"/>
      <c r="AJ395" s="754"/>
      <c r="AK395" s="754"/>
      <c r="AL395" s="754"/>
      <c r="AM395" s="754"/>
      <c r="AN395" s="754"/>
      <c r="AO395" s="754"/>
      <c r="AP395" s="754"/>
      <c r="AQ395" s="754"/>
      <c r="AR395" s="754"/>
      <c r="AS395" s="754"/>
      <c r="AT395" s="754"/>
      <c r="AU395" s="754"/>
      <c r="AV395" s="616"/>
      <c r="AW395" s="616"/>
      <c r="AX395" s="616"/>
      <c r="AY395" s="616"/>
      <c r="AZ395" s="616"/>
    </row>
    <row r="396" spans="2:52" x14ac:dyDescent="0.25">
      <c r="C396" s="824"/>
      <c r="AA396" s="754"/>
      <c r="AB396" s="754"/>
      <c r="AC396" s="754"/>
      <c r="AD396" s="754"/>
      <c r="AE396" s="754"/>
      <c r="AF396" s="754"/>
      <c r="AG396" s="754"/>
      <c r="AH396" s="754"/>
      <c r="AI396" s="754"/>
      <c r="AJ396" s="754"/>
      <c r="AK396" s="754"/>
      <c r="AL396" s="754"/>
      <c r="AM396" s="754"/>
      <c r="AN396" s="754"/>
      <c r="AO396" s="754"/>
      <c r="AP396" s="754"/>
      <c r="AQ396" s="754"/>
      <c r="AR396" s="754"/>
      <c r="AS396" s="754"/>
      <c r="AT396" s="754"/>
      <c r="AU396" s="754"/>
      <c r="AV396" s="616"/>
      <c r="AW396" s="616"/>
      <c r="AX396" s="616"/>
      <c r="AY396" s="616"/>
      <c r="AZ396" s="616"/>
    </row>
    <row r="397" spans="2:52" x14ac:dyDescent="0.25">
      <c r="C397" s="824"/>
      <c r="AA397" s="754"/>
      <c r="AB397" s="754"/>
      <c r="AC397" s="754"/>
      <c r="AD397" s="754"/>
      <c r="AE397" s="754"/>
      <c r="AF397" s="754"/>
      <c r="AG397" s="754"/>
      <c r="AH397" s="754"/>
      <c r="AI397" s="754"/>
      <c r="AJ397" s="754"/>
      <c r="AK397" s="754"/>
      <c r="AL397" s="754"/>
      <c r="AM397" s="754"/>
      <c r="AN397" s="754"/>
      <c r="AO397" s="754"/>
      <c r="AP397" s="754"/>
      <c r="AQ397" s="754"/>
      <c r="AR397" s="754"/>
      <c r="AS397" s="754"/>
      <c r="AT397" s="754"/>
      <c r="AU397" s="754"/>
      <c r="AV397" s="616"/>
      <c r="AW397" s="616"/>
      <c r="AX397" s="616"/>
      <c r="AY397" s="616"/>
      <c r="AZ397" s="616"/>
    </row>
    <row r="398" spans="2:52" x14ac:dyDescent="0.25">
      <c r="C398" s="824"/>
      <c r="AA398" s="754"/>
      <c r="AB398" s="754"/>
      <c r="AC398" s="754"/>
      <c r="AD398" s="754"/>
      <c r="AE398" s="754"/>
      <c r="AF398" s="754"/>
      <c r="AG398" s="754"/>
      <c r="AH398" s="754"/>
      <c r="AI398" s="754"/>
      <c r="AJ398" s="754"/>
      <c r="AK398" s="754"/>
      <c r="AL398" s="754"/>
      <c r="AM398" s="754"/>
      <c r="AN398" s="754"/>
      <c r="AO398" s="754"/>
      <c r="AP398" s="754"/>
      <c r="AQ398" s="754"/>
      <c r="AR398" s="754"/>
      <c r="AS398" s="754"/>
      <c r="AT398" s="754"/>
      <c r="AU398" s="754"/>
      <c r="AV398" s="616"/>
      <c r="AW398" s="616"/>
      <c r="AX398" s="616"/>
      <c r="AY398" s="616"/>
      <c r="AZ398" s="616"/>
    </row>
    <row r="399" spans="2:52" x14ac:dyDescent="0.25">
      <c r="C399" s="824"/>
      <c r="AA399" s="754"/>
      <c r="AB399" s="754"/>
      <c r="AC399" s="754"/>
      <c r="AD399" s="754"/>
      <c r="AE399" s="754"/>
      <c r="AF399" s="754"/>
      <c r="AG399" s="754"/>
      <c r="AH399" s="754"/>
      <c r="AI399" s="754"/>
      <c r="AJ399" s="754"/>
      <c r="AK399" s="754"/>
      <c r="AL399" s="754"/>
      <c r="AM399" s="754"/>
      <c r="AN399" s="754"/>
      <c r="AO399" s="754"/>
      <c r="AP399" s="754"/>
      <c r="AQ399" s="754"/>
      <c r="AR399" s="754"/>
      <c r="AS399" s="754"/>
      <c r="AT399" s="754"/>
      <c r="AU399" s="754"/>
      <c r="AV399" s="616"/>
      <c r="AW399" s="616"/>
      <c r="AX399" s="616"/>
      <c r="AY399" s="616"/>
      <c r="AZ399" s="616"/>
    </row>
    <row r="400" spans="2:52" x14ac:dyDescent="0.25">
      <c r="C400" s="824"/>
      <c r="AA400" s="754"/>
      <c r="AB400" s="754"/>
      <c r="AC400" s="754"/>
      <c r="AD400" s="754"/>
      <c r="AE400" s="754"/>
      <c r="AF400" s="754"/>
      <c r="AG400" s="754"/>
      <c r="AH400" s="754"/>
      <c r="AI400" s="754"/>
      <c r="AJ400" s="754"/>
      <c r="AK400" s="754"/>
      <c r="AL400" s="754"/>
      <c r="AM400" s="754"/>
      <c r="AN400" s="754"/>
      <c r="AO400" s="754"/>
      <c r="AP400" s="754"/>
      <c r="AQ400" s="754"/>
      <c r="AR400" s="754"/>
      <c r="AS400" s="754"/>
      <c r="AT400" s="754"/>
      <c r="AU400" s="754"/>
      <c r="AV400" s="616"/>
      <c r="AW400" s="616"/>
      <c r="AX400" s="616"/>
      <c r="AY400" s="616"/>
      <c r="AZ400" s="616"/>
    </row>
    <row r="401" spans="3:52" x14ac:dyDescent="0.25">
      <c r="C401" s="824"/>
      <c r="AA401" s="754"/>
      <c r="AB401" s="754"/>
      <c r="AC401" s="754"/>
      <c r="AD401" s="754"/>
      <c r="AE401" s="754"/>
      <c r="AF401" s="754"/>
      <c r="AG401" s="754"/>
      <c r="AH401" s="754"/>
      <c r="AI401" s="754"/>
      <c r="AJ401" s="754"/>
      <c r="AK401" s="754"/>
      <c r="AL401" s="754"/>
      <c r="AM401" s="754"/>
      <c r="AN401" s="754"/>
      <c r="AO401" s="754"/>
      <c r="AP401" s="754"/>
      <c r="AQ401" s="754"/>
      <c r="AR401" s="754"/>
      <c r="AS401" s="754"/>
      <c r="AT401" s="754"/>
      <c r="AU401" s="754"/>
      <c r="AV401" s="616"/>
      <c r="AW401" s="616"/>
      <c r="AX401" s="616"/>
      <c r="AY401" s="616"/>
      <c r="AZ401" s="616"/>
    </row>
    <row r="402" spans="3:52" x14ac:dyDescent="0.25">
      <c r="C402" s="824"/>
      <c r="AA402" s="754"/>
      <c r="AB402" s="754"/>
      <c r="AC402" s="754"/>
      <c r="AD402" s="754"/>
      <c r="AE402" s="754"/>
      <c r="AF402" s="754"/>
      <c r="AG402" s="754"/>
      <c r="AH402" s="754"/>
      <c r="AI402" s="754"/>
      <c r="AJ402" s="754"/>
      <c r="AK402" s="754"/>
      <c r="AL402" s="754"/>
      <c r="AM402" s="754"/>
      <c r="AN402" s="754"/>
      <c r="AO402" s="754"/>
      <c r="AP402" s="754"/>
      <c r="AQ402" s="754"/>
      <c r="AR402" s="754"/>
      <c r="AS402" s="754"/>
      <c r="AT402" s="754"/>
      <c r="AU402" s="754"/>
      <c r="AV402" s="616"/>
      <c r="AW402" s="616"/>
      <c r="AX402" s="616"/>
      <c r="AY402" s="616"/>
      <c r="AZ402" s="616"/>
    </row>
    <row r="403" spans="3:52" x14ac:dyDescent="0.25">
      <c r="C403" s="824"/>
      <c r="AA403" s="754"/>
      <c r="AB403" s="754"/>
      <c r="AC403" s="754"/>
      <c r="AD403" s="754"/>
      <c r="AE403" s="754"/>
      <c r="AF403" s="754"/>
      <c r="AG403" s="754"/>
      <c r="AH403" s="754"/>
      <c r="AI403" s="754"/>
      <c r="AJ403" s="754"/>
      <c r="AK403" s="754"/>
      <c r="AL403" s="754"/>
      <c r="AM403" s="754"/>
      <c r="AN403" s="754"/>
      <c r="AO403" s="754"/>
      <c r="AP403" s="754"/>
      <c r="AQ403" s="754"/>
      <c r="AR403" s="754"/>
      <c r="AS403" s="754"/>
      <c r="AT403" s="754"/>
      <c r="AU403" s="754"/>
      <c r="AV403" s="616"/>
      <c r="AW403" s="616"/>
      <c r="AX403" s="616"/>
      <c r="AY403" s="616"/>
      <c r="AZ403" s="616"/>
    </row>
    <row r="404" spans="3:52" x14ac:dyDescent="0.25">
      <c r="C404" s="824"/>
      <c r="AA404" s="754"/>
      <c r="AB404" s="754"/>
      <c r="AC404" s="754"/>
      <c r="AD404" s="754"/>
      <c r="AE404" s="754"/>
      <c r="AF404" s="754"/>
      <c r="AG404" s="754"/>
      <c r="AH404" s="754"/>
      <c r="AI404" s="754"/>
      <c r="AJ404" s="754"/>
      <c r="AK404" s="754"/>
      <c r="AL404" s="754"/>
      <c r="AM404" s="754"/>
      <c r="AN404" s="754"/>
      <c r="AO404" s="754"/>
      <c r="AP404" s="754"/>
      <c r="AQ404" s="754"/>
      <c r="AR404" s="754"/>
      <c r="AS404" s="754"/>
      <c r="AT404" s="754"/>
      <c r="AU404" s="754"/>
      <c r="AV404" s="616"/>
      <c r="AW404" s="616"/>
      <c r="AX404" s="616"/>
      <c r="AY404" s="616"/>
      <c r="AZ404" s="616"/>
    </row>
    <row r="405" spans="3:52" x14ac:dyDescent="0.25">
      <c r="C405" s="824"/>
      <c r="AA405" s="754"/>
      <c r="AB405" s="754"/>
      <c r="AC405" s="754"/>
      <c r="AD405" s="754"/>
      <c r="AE405" s="754"/>
      <c r="AF405" s="754"/>
      <c r="AG405" s="754"/>
      <c r="AH405" s="754"/>
      <c r="AI405" s="754"/>
      <c r="AJ405" s="754"/>
      <c r="AK405" s="754"/>
      <c r="AL405" s="754"/>
      <c r="AM405" s="754"/>
      <c r="AN405" s="754"/>
      <c r="AO405" s="754"/>
      <c r="AP405" s="754"/>
      <c r="AQ405" s="754"/>
      <c r="AR405" s="754"/>
      <c r="AS405" s="754"/>
      <c r="AT405" s="754"/>
      <c r="AU405" s="754"/>
      <c r="AV405" s="616"/>
      <c r="AW405" s="616"/>
      <c r="AX405" s="616"/>
      <c r="AY405" s="616"/>
      <c r="AZ405" s="616"/>
    </row>
    <row r="406" spans="3:52" x14ac:dyDescent="0.25">
      <c r="C406" s="824"/>
      <c r="AA406" s="754"/>
      <c r="AB406" s="754"/>
      <c r="AC406" s="754"/>
      <c r="AD406" s="754"/>
      <c r="AE406" s="754"/>
      <c r="AF406" s="754"/>
      <c r="AG406" s="754"/>
      <c r="AH406" s="754"/>
      <c r="AI406" s="754"/>
      <c r="AJ406" s="754"/>
      <c r="AK406" s="754"/>
      <c r="AL406" s="754"/>
      <c r="AM406" s="754"/>
      <c r="AN406" s="754"/>
      <c r="AO406" s="754"/>
      <c r="AP406" s="754"/>
      <c r="AQ406" s="754"/>
      <c r="AR406" s="754"/>
      <c r="AS406" s="754"/>
      <c r="AT406" s="754"/>
      <c r="AU406" s="754"/>
      <c r="AV406" s="616"/>
      <c r="AW406" s="616"/>
      <c r="AX406" s="616"/>
      <c r="AY406" s="616"/>
      <c r="AZ406" s="616"/>
    </row>
    <row r="407" spans="3:52" x14ac:dyDescent="0.25">
      <c r="C407" s="824"/>
      <c r="AA407" s="754"/>
      <c r="AB407" s="754"/>
      <c r="AC407" s="754"/>
      <c r="AD407" s="754"/>
      <c r="AE407" s="754"/>
      <c r="AF407" s="754"/>
      <c r="AG407" s="754"/>
      <c r="AH407" s="754"/>
      <c r="AI407" s="754"/>
      <c r="AJ407" s="754"/>
      <c r="AK407" s="754"/>
      <c r="AL407" s="754"/>
      <c r="AM407" s="754"/>
      <c r="AN407" s="754"/>
      <c r="AO407" s="754"/>
      <c r="AP407" s="754"/>
      <c r="AQ407" s="754"/>
      <c r="AR407" s="754"/>
      <c r="AS407" s="754"/>
      <c r="AT407" s="754"/>
      <c r="AU407" s="754"/>
      <c r="AV407" s="616"/>
      <c r="AW407" s="616"/>
      <c r="AX407" s="616"/>
      <c r="AY407" s="616"/>
      <c r="AZ407" s="616"/>
    </row>
    <row r="408" spans="3:52" x14ac:dyDescent="0.25">
      <c r="C408" s="824"/>
      <c r="AA408" s="754"/>
      <c r="AB408" s="754"/>
      <c r="AC408" s="754"/>
      <c r="AD408" s="754"/>
      <c r="AE408" s="754"/>
      <c r="AF408" s="754"/>
      <c r="AG408" s="754"/>
      <c r="AH408" s="754"/>
      <c r="AI408" s="754"/>
      <c r="AJ408" s="754"/>
      <c r="AK408" s="754"/>
      <c r="AL408" s="754"/>
      <c r="AM408" s="754"/>
      <c r="AN408" s="754"/>
      <c r="AO408" s="754"/>
      <c r="AP408" s="754"/>
      <c r="AQ408" s="754"/>
      <c r="AR408" s="754"/>
      <c r="AS408" s="754"/>
      <c r="AT408" s="754"/>
      <c r="AU408" s="754"/>
      <c r="AV408" s="616"/>
      <c r="AW408" s="616"/>
      <c r="AX408" s="616"/>
      <c r="AY408" s="616"/>
      <c r="AZ408" s="616"/>
    </row>
    <row r="409" spans="3:52" x14ac:dyDescent="0.25">
      <c r="C409" s="824"/>
      <c r="AA409" s="754"/>
      <c r="AB409" s="754"/>
      <c r="AC409" s="754"/>
      <c r="AD409" s="754"/>
      <c r="AE409" s="754"/>
      <c r="AF409" s="754"/>
      <c r="AG409" s="754"/>
      <c r="AH409" s="754"/>
      <c r="AI409" s="754"/>
      <c r="AJ409" s="754"/>
      <c r="AK409" s="754"/>
      <c r="AL409" s="754"/>
      <c r="AM409" s="754"/>
      <c r="AN409" s="754"/>
      <c r="AO409" s="754"/>
      <c r="AP409" s="754"/>
      <c r="AQ409" s="754"/>
      <c r="AR409" s="754"/>
      <c r="AS409" s="754"/>
      <c r="AT409" s="754"/>
      <c r="AU409" s="754"/>
      <c r="AV409" s="616"/>
      <c r="AW409" s="616"/>
      <c r="AX409" s="616"/>
      <c r="AY409" s="616"/>
      <c r="AZ409" s="616"/>
    </row>
    <row r="410" spans="3:52" x14ac:dyDescent="0.25">
      <c r="C410" s="824"/>
      <c r="AA410" s="754"/>
      <c r="AB410" s="754"/>
      <c r="AC410" s="754"/>
      <c r="AD410" s="754"/>
      <c r="AE410" s="754"/>
      <c r="AF410" s="754"/>
      <c r="AG410" s="754"/>
      <c r="AH410" s="754"/>
      <c r="AI410" s="754"/>
      <c r="AJ410" s="754"/>
      <c r="AK410" s="754"/>
      <c r="AL410" s="754"/>
      <c r="AM410" s="754"/>
      <c r="AN410" s="754"/>
      <c r="AO410" s="754"/>
      <c r="AP410" s="754"/>
      <c r="AQ410" s="754"/>
      <c r="AR410" s="754"/>
      <c r="AS410" s="754"/>
      <c r="AT410" s="754"/>
      <c r="AU410" s="754"/>
      <c r="AV410" s="616"/>
      <c r="AW410" s="616"/>
      <c r="AX410" s="616"/>
      <c r="AY410" s="616"/>
      <c r="AZ410" s="616"/>
    </row>
    <row r="411" spans="3:52" x14ac:dyDescent="0.25">
      <c r="C411" s="824"/>
      <c r="AA411" s="754"/>
      <c r="AB411" s="754"/>
      <c r="AC411" s="754"/>
      <c r="AD411" s="754"/>
      <c r="AE411" s="754"/>
      <c r="AF411" s="754"/>
      <c r="AG411" s="754"/>
      <c r="AH411" s="754"/>
      <c r="AI411" s="754"/>
      <c r="AJ411" s="754"/>
      <c r="AK411" s="754"/>
      <c r="AL411" s="754"/>
      <c r="AM411" s="754"/>
      <c r="AN411" s="754"/>
      <c r="AO411" s="754"/>
      <c r="AP411" s="754"/>
      <c r="AQ411" s="754"/>
      <c r="AR411" s="754"/>
      <c r="AS411" s="754"/>
      <c r="AT411" s="754"/>
      <c r="AU411" s="754"/>
      <c r="AV411" s="616"/>
      <c r="AW411" s="616"/>
      <c r="AX411" s="616"/>
      <c r="AY411" s="616"/>
      <c r="AZ411" s="616"/>
    </row>
    <row r="412" spans="3:52" x14ac:dyDescent="0.25">
      <c r="C412" s="824"/>
      <c r="AA412" s="754"/>
      <c r="AB412" s="754"/>
      <c r="AC412" s="754"/>
      <c r="AD412" s="754"/>
      <c r="AE412" s="754"/>
      <c r="AF412" s="754"/>
      <c r="AG412" s="754"/>
      <c r="AH412" s="754"/>
      <c r="AI412" s="754"/>
      <c r="AJ412" s="754"/>
      <c r="AK412" s="754"/>
      <c r="AL412" s="754"/>
      <c r="AM412" s="754"/>
      <c r="AN412" s="754"/>
      <c r="AO412" s="754"/>
      <c r="AP412" s="754"/>
      <c r="AQ412" s="754"/>
      <c r="AR412" s="754"/>
      <c r="AS412" s="754"/>
      <c r="AT412" s="754"/>
      <c r="AU412" s="754"/>
      <c r="AV412" s="616"/>
      <c r="AW412" s="616"/>
      <c r="AX412" s="616"/>
      <c r="AY412" s="616"/>
      <c r="AZ412" s="616"/>
    </row>
    <row r="413" spans="3:52" x14ac:dyDescent="0.25">
      <c r="C413" s="824"/>
      <c r="AA413" s="754"/>
      <c r="AB413" s="754"/>
      <c r="AC413" s="754"/>
      <c r="AD413" s="754"/>
      <c r="AE413" s="754"/>
      <c r="AF413" s="754"/>
      <c r="AG413" s="754"/>
      <c r="AH413" s="754"/>
      <c r="AI413" s="754"/>
      <c r="AJ413" s="754"/>
      <c r="AK413" s="754"/>
      <c r="AL413" s="754"/>
      <c r="AM413" s="754"/>
      <c r="AN413" s="754"/>
      <c r="AO413" s="754"/>
      <c r="AP413" s="754"/>
      <c r="AQ413" s="754"/>
      <c r="AR413" s="754"/>
      <c r="AS413" s="754"/>
      <c r="AT413" s="754"/>
      <c r="AU413" s="754"/>
      <c r="AV413" s="616"/>
      <c r="AW413" s="616"/>
      <c r="AX413" s="616"/>
      <c r="AY413" s="616"/>
      <c r="AZ413" s="616"/>
    </row>
    <row r="414" spans="3:52" x14ac:dyDescent="0.25">
      <c r="C414" s="824"/>
      <c r="AA414" s="754"/>
      <c r="AB414" s="754"/>
      <c r="AC414" s="754"/>
      <c r="AD414" s="754"/>
      <c r="AE414" s="754"/>
      <c r="AF414" s="754"/>
      <c r="AG414" s="754"/>
      <c r="AH414" s="754"/>
      <c r="AI414" s="754"/>
      <c r="AJ414" s="754"/>
      <c r="AK414" s="754"/>
      <c r="AL414" s="754"/>
      <c r="AM414" s="754"/>
      <c r="AN414" s="754"/>
      <c r="AO414" s="754"/>
      <c r="AP414" s="754"/>
      <c r="AQ414" s="754"/>
      <c r="AR414" s="754"/>
      <c r="AS414" s="754"/>
      <c r="AT414" s="754"/>
      <c r="AU414" s="754"/>
      <c r="AV414" s="616"/>
      <c r="AW414" s="616"/>
      <c r="AX414" s="616"/>
      <c r="AY414" s="616"/>
      <c r="AZ414" s="616"/>
    </row>
    <row r="415" spans="3:52" x14ac:dyDescent="0.25">
      <c r="C415" s="824"/>
      <c r="AA415" s="754"/>
      <c r="AB415" s="754"/>
      <c r="AC415" s="754"/>
      <c r="AD415" s="754"/>
      <c r="AE415" s="754"/>
      <c r="AF415" s="754"/>
      <c r="AG415" s="754"/>
      <c r="AH415" s="754"/>
      <c r="AI415" s="754"/>
      <c r="AJ415" s="754"/>
      <c r="AK415" s="754"/>
      <c r="AL415" s="754"/>
      <c r="AM415" s="754"/>
      <c r="AN415" s="754"/>
      <c r="AO415" s="754"/>
      <c r="AP415" s="754"/>
      <c r="AQ415" s="754"/>
      <c r="AR415" s="754"/>
      <c r="AS415" s="754"/>
      <c r="AT415" s="754"/>
      <c r="AU415" s="754"/>
      <c r="AV415" s="616"/>
      <c r="AW415" s="616"/>
      <c r="AX415" s="616"/>
      <c r="AY415" s="616"/>
      <c r="AZ415" s="616"/>
    </row>
    <row r="416" spans="3:52" x14ac:dyDescent="0.25">
      <c r="C416" s="824"/>
      <c r="AA416" s="754"/>
      <c r="AB416" s="754"/>
      <c r="AC416" s="754"/>
      <c r="AD416" s="754"/>
      <c r="AE416" s="754"/>
      <c r="AF416" s="754"/>
      <c r="AG416" s="754"/>
      <c r="AH416" s="754"/>
      <c r="AI416" s="754"/>
      <c r="AJ416" s="754"/>
      <c r="AK416" s="754"/>
      <c r="AL416" s="754"/>
      <c r="AM416" s="754"/>
      <c r="AN416" s="754"/>
      <c r="AO416" s="754"/>
      <c r="AP416" s="754"/>
      <c r="AQ416" s="754"/>
      <c r="AR416" s="754"/>
      <c r="AS416" s="754"/>
      <c r="AT416" s="754"/>
      <c r="AU416" s="754"/>
      <c r="AV416" s="616"/>
      <c r="AW416" s="616"/>
      <c r="AX416" s="616"/>
      <c r="AY416" s="616"/>
      <c r="AZ416" s="616"/>
    </row>
    <row r="417" spans="3:52" x14ac:dyDescent="0.25">
      <c r="C417" s="824"/>
      <c r="AA417" s="754"/>
      <c r="AB417" s="754"/>
      <c r="AC417" s="754"/>
      <c r="AD417" s="754"/>
      <c r="AE417" s="754"/>
      <c r="AF417" s="754"/>
      <c r="AG417" s="754"/>
      <c r="AH417" s="754"/>
      <c r="AI417" s="754"/>
      <c r="AJ417" s="754"/>
      <c r="AK417" s="754"/>
      <c r="AL417" s="754"/>
      <c r="AM417" s="754"/>
      <c r="AN417" s="754"/>
      <c r="AO417" s="754"/>
      <c r="AP417" s="754"/>
      <c r="AQ417" s="754"/>
      <c r="AR417" s="754"/>
      <c r="AS417" s="754"/>
      <c r="AT417" s="754"/>
      <c r="AU417" s="754"/>
      <c r="AV417" s="616"/>
      <c r="AW417" s="616"/>
      <c r="AX417" s="616"/>
      <c r="AY417" s="616"/>
      <c r="AZ417" s="616"/>
    </row>
    <row r="418" spans="3:52" x14ac:dyDescent="0.25">
      <c r="C418" s="824"/>
      <c r="AA418" s="754"/>
      <c r="AB418" s="754"/>
      <c r="AC418" s="754"/>
      <c r="AD418" s="754"/>
      <c r="AE418" s="754"/>
      <c r="AF418" s="754"/>
      <c r="AG418" s="754"/>
      <c r="AH418" s="754"/>
      <c r="AI418" s="754"/>
      <c r="AJ418" s="754"/>
      <c r="AK418" s="754"/>
      <c r="AL418" s="754"/>
      <c r="AM418" s="754"/>
      <c r="AN418" s="754"/>
      <c r="AO418" s="754"/>
      <c r="AP418" s="754"/>
      <c r="AQ418" s="754"/>
      <c r="AR418" s="754"/>
      <c r="AS418" s="754"/>
      <c r="AT418" s="754"/>
      <c r="AU418" s="754"/>
      <c r="AV418" s="616"/>
      <c r="AW418" s="616"/>
      <c r="AX418" s="616"/>
      <c r="AY418" s="616"/>
      <c r="AZ418" s="616"/>
    </row>
    <row r="419" spans="3:52" x14ac:dyDescent="0.25">
      <c r="C419" s="824"/>
      <c r="AA419" s="754"/>
      <c r="AB419" s="754"/>
      <c r="AC419" s="754"/>
      <c r="AD419" s="754"/>
      <c r="AE419" s="754"/>
      <c r="AF419" s="754"/>
      <c r="AG419" s="754"/>
      <c r="AH419" s="754"/>
      <c r="AI419" s="754"/>
      <c r="AJ419" s="754"/>
      <c r="AK419" s="754"/>
      <c r="AL419" s="754"/>
      <c r="AM419" s="754"/>
      <c r="AN419" s="754"/>
      <c r="AO419" s="754"/>
      <c r="AP419" s="754"/>
      <c r="AQ419" s="754"/>
      <c r="AR419" s="754"/>
      <c r="AS419" s="754"/>
      <c r="AT419" s="754"/>
      <c r="AU419" s="754"/>
      <c r="AV419" s="616"/>
      <c r="AW419" s="616"/>
      <c r="AX419" s="616"/>
      <c r="AY419" s="616"/>
      <c r="AZ419" s="616"/>
    </row>
    <row r="420" spans="3:52" x14ac:dyDescent="0.25">
      <c r="C420" s="824"/>
      <c r="AA420" s="754"/>
      <c r="AB420" s="754"/>
      <c r="AC420" s="754"/>
      <c r="AD420" s="754"/>
      <c r="AE420" s="754"/>
      <c r="AF420" s="754"/>
      <c r="AG420" s="754"/>
      <c r="AH420" s="754"/>
      <c r="AI420" s="754"/>
      <c r="AJ420" s="754"/>
      <c r="AK420" s="754"/>
      <c r="AL420" s="754"/>
      <c r="AM420" s="754"/>
      <c r="AN420" s="754"/>
      <c r="AO420" s="754"/>
      <c r="AP420" s="754"/>
      <c r="AQ420" s="754"/>
      <c r="AR420" s="754"/>
      <c r="AS420" s="754"/>
      <c r="AT420" s="754"/>
      <c r="AU420" s="754"/>
      <c r="AV420" s="616"/>
      <c r="AW420" s="616"/>
      <c r="AX420" s="616"/>
      <c r="AY420" s="616"/>
      <c r="AZ420" s="616"/>
    </row>
    <row r="421" spans="3:52" x14ac:dyDescent="0.25">
      <c r="C421" s="824"/>
      <c r="AA421" s="754"/>
      <c r="AB421" s="754"/>
      <c r="AC421" s="754"/>
      <c r="AD421" s="754"/>
      <c r="AE421" s="754"/>
      <c r="AF421" s="754"/>
      <c r="AG421" s="754"/>
      <c r="AH421" s="754"/>
      <c r="AI421" s="754"/>
      <c r="AJ421" s="754"/>
      <c r="AK421" s="754"/>
      <c r="AL421" s="754"/>
      <c r="AM421" s="754"/>
      <c r="AN421" s="754"/>
      <c r="AO421" s="754"/>
      <c r="AP421" s="754"/>
      <c r="AQ421" s="754"/>
      <c r="AR421" s="754"/>
      <c r="AS421" s="754"/>
      <c r="AT421" s="754"/>
      <c r="AU421" s="754"/>
      <c r="AV421" s="616"/>
      <c r="AW421" s="616"/>
      <c r="AX421" s="616"/>
      <c r="AY421" s="616"/>
      <c r="AZ421" s="616"/>
    </row>
    <row r="422" spans="3:52" x14ac:dyDescent="0.25">
      <c r="C422" s="824"/>
      <c r="AA422" s="754"/>
      <c r="AB422" s="754"/>
      <c r="AC422" s="754"/>
      <c r="AD422" s="754"/>
      <c r="AE422" s="754"/>
      <c r="AF422" s="754"/>
      <c r="AG422" s="754"/>
      <c r="AH422" s="754"/>
      <c r="AI422" s="754"/>
      <c r="AJ422" s="754"/>
      <c r="AK422" s="754"/>
      <c r="AL422" s="754"/>
      <c r="AM422" s="754"/>
      <c r="AN422" s="754"/>
      <c r="AO422" s="754"/>
      <c r="AP422" s="754"/>
      <c r="AQ422" s="754"/>
      <c r="AR422" s="754"/>
      <c r="AS422" s="754"/>
      <c r="AT422" s="754"/>
      <c r="AU422" s="754"/>
      <c r="AV422" s="616"/>
      <c r="AW422" s="616"/>
      <c r="AX422" s="616"/>
      <c r="AY422" s="616"/>
      <c r="AZ422" s="616"/>
    </row>
    <row r="423" spans="3:52" x14ac:dyDescent="0.25">
      <c r="C423" s="824"/>
      <c r="AA423" s="754"/>
      <c r="AB423" s="754"/>
      <c r="AC423" s="754"/>
      <c r="AD423" s="754"/>
      <c r="AE423" s="754"/>
      <c r="AF423" s="754"/>
      <c r="AG423" s="754"/>
      <c r="AH423" s="754"/>
      <c r="AI423" s="754"/>
      <c r="AJ423" s="754"/>
      <c r="AK423" s="754"/>
      <c r="AL423" s="754"/>
      <c r="AM423" s="754"/>
      <c r="AN423" s="754"/>
      <c r="AO423" s="754"/>
      <c r="AP423" s="754"/>
      <c r="AQ423" s="754"/>
      <c r="AR423" s="754"/>
      <c r="AS423" s="754"/>
      <c r="AT423" s="754"/>
      <c r="AU423" s="754"/>
      <c r="AV423" s="616"/>
      <c r="AW423" s="616"/>
      <c r="AX423" s="616"/>
      <c r="AY423" s="616"/>
      <c r="AZ423" s="616"/>
    </row>
    <row r="424" spans="3:52" x14ac:dyDescent="0.25">
      <c r="C424" s="824"/>
      <c r="AA424" s="754"/>
      <c r="AB424" s="754"/>
      <c r="AC424" s="754"/>
      <c r="AD424" s="754"/>
      <c r="AE424" s="754"/>
      <c r="AF424" s="754"/>
      <c r="AG424" s="754"/>
      <c r="AH424" s="754"/>
      <c r="AI424" s="754"/>
      <c r="AJ424" s="754"/>
      <c r="AK424" s="754"/>
      <c r="AL424" s="754"/>
      <c r="AM424" s="754"/>
      <c r="AN424" s="754"/>
      <c r="AO424" s="754"/>
      <c r="AP424" s="754"/>
      <c r="AQ424" s="754"/>
      <c r="AR424" s="754"/>
      <c r="AS424" s="754"/>
      <c r="AT424" s="754"/>
      <c r="AU424" s="754"/>
      <c r="AV424" s="616"/>
      <c r="AW424" s="616"/>
      <c r="AX424" s="616"/>
      <c r="AY424" s="616"/>
      <c r="AZ424" s="616"/>
    </row>
    <row r="425" spans="3:52" x14ac:dyDescent="0.25">
      <c r="C425" s="824"/>
      <c r="AA425" s="754"/>
      <c r="AB425" s="754"/>
      <c r="AC425" s="754"/>
      <c r="AD425" s="754"/>
      <c r="AE425" s="754"/>
      <c r="AF425" s="754"/>
      <c r="AG425" s="754"/>
      <c r="AH425" s="754"/>
      <c r="AI425" s="754"/>
      <c r="AJ425" s="754"/>
      <c r="AK425" s="754"/>
      <c r="AL425" s="754"/>
      <c r="AM425" s="754"/>
      <c r="AN425" s="754"/>
      <c r="AO425" s="754"/>
      <c r="AP425" s="754"/>
      <c r="AQ425" s="754"/>
      <c r="AR425" s="754"/>
      <c r="AS425" s="754"/>
      <c r="AT425" s="754"/>
      <c r="AU425" s="754"/>
      <c r="AV425" s="616"/>
      <c r="AW425" s="616"/>
      <c r="AX425" s="616"/>
      <c r="AY425" s="616"/>
      <c r="AZ425" s="616"/>
    </row>
    <row r="426" spans="3:52" x14ac:dyDescent="0.25">
      <c r="C426" s="824"/>
      <c r="AA426" s="754"/>
      <c r="AB426" s="754"/>
      <c r="AC426" s="754"/>
      <c r="AD426" s="754"/>
      <c r="AE426" s="754"/>
      <c r="AF426" s="754"/>
      <c r="AG426" s="754"/>
      <c r="AH426" s="754"/>
      <c r="AI426" s="754"/>
      <c r="AJ426" s="754"/>
      <c r="AK426" s="754"/>
      <c r="AL426" s="754"/>
      <c r="AM426" s="754"/>
      <c r="AN426" s="754"/>
      <c r="AO426" s="754"/>
      <c r="AP426" s="754"/>
      <c r="AQ426" s="754"/>
      <c r="AR426" s="754"/>
      <c r="AS426" s="754"/>
      <c r="AT426" s="754"/>
      <c r="AU426" s="754"/>
      <c r="AV426" s="616"/>
      <c r="AW426" s="616"/>
      <c r="AX426" s="616"/>
      <c r="AY426" s="616"/>
      <c r="AZ426" s="616"/>
    </row>
    <row r="427" spans="3:52" x14ac:dyDescent="0.25">
      <c r="C427" s="824"/>
      <c r="AA427" s="754"/>
      <c r="AB427" s="754"/>
      <c r="AC427" s="754"/>
      <c r="AD427" s="754"/>
      <c r="AE427" s="754"/>
      <c r="AF427" s="754"/>
      <c r="AG427" s="754"/>
      <c r="AH427" s="754"/>
      <c r="AI427" s="754"/>
      <c r="AJ427" s="754"/>
      <c r="AK427" s="754"/>
      <c r="AL427" s="754"/>
      <c r="AM427" s="754"/>
      <c r="AN427" s="754"/>
      <c r="AO427" s="754"/>
      <c r="AP427" s="754"/>
      <c r="AQ427" s="754"/>
      <c r="AR427" s="754"/>
      <c r="AS427" s="754"/>
      <c r="AT427" s="754"/>
      <c r="AU427" s="754"/>
      <c r="AV427" s="616"/>
      <c r="AW427" s="616"/>
      <c r="AX427" s="616"/>
      <c r="AY427" s="616"/>
      <c r="AZ427" s="616"/>
    </row>
    <row r="428" spans="3:52" x14ac:dyDescent="0.25">
      <c r="C428" s="824"/>
      <c r="AA428" s="754"/>
      <c r="AB428" s="754"/>
      <c r="AC428" s="754"/>
      <c r="AD428" s="754"/>
      <c r="AE428" s="754"/>
      <c r="AF428" s="754"/>
      <c r="AG428" s="754"/>
      <c r="AH428" s="754"/>
      <c r="AI428" s="754"/>
      <c r="AJ428" s="754"/>
      <c r="AK428" s="754"/>
      <c r="AL428" s="754"/>
      <c r="AM428" s="754"/>
      <c r="AN428" s="754"/>
      <c r="AO428" s="754"/>
      <c r="AP428" s="754"/>
      <c r="AQ428" s="754"/>
      <c r="AR428" s="754"/>
      <c r="AS428" s="754"/>
      <c r="AT428" s="754"/>
      <c r="AU428" s="754"/>
      <c r="AV428" s="616"/>
      <c r="AW428" s="616"/>
      <c r="AX428" s="616"/>
      <c r="AY428" s="616"/>
      <c r="AZ428" s="616"/>
    </row>
    <row r="429" spans="3:52" x14ac:dyDescent="0.25">
      <c r="C429" s="824"/>
      <c r="AA429" s="754"/>
      <c r="AB429" s="754"/>
      <c r="AC429" s="754"/>
      <c r="AD429" s="754"/>
      <c r="AE429" s="754"/>
      <c r="AF429" s="754"/>
      <c r="AG429" s="754"/>
      <c r="AH429" s="754"/>
      <c r="AI429" s="754"/>
      <c r="AJ429" s="754"/>
      <c r="AK429" s="754"/>
      <c r="AL429" s="754"/>
      <c r="AM429" s="754"/>
      <c r="AN429" s="754"/>
      <c r="AO429" s="754"/>
      <c r="AP429" s="754"/>
      <c r="AQ429" s="754"/>
      <c r="AR429" s="754"/>
      <c r="AS429" s="754"/>
      <c r="AT429" s="754"/>
      <c r="AU429" s="754"/>
      <c r="AV429" s="616"/>
      <c r="AW429" s="616"/>
      <c r="AX429" s="616"/>
      <c r="AY429" s="616"/>
      <c r="AZ429" s="616"/>
    </row>
    <row r="430" spans="3:52" x14ac:dyDescent="0.25">
      <c r="C430" s="824"/>
      <c r="AA430" s="754"/>
      <c r="AB430" s="754"/>
      <c r="AC430" s="754"/>
      <c r="AD430" s="754"/>
      <c r="AE430" s="754"/>
      <c r="AF430" s="754"/>
      <c r="AG430" s="754"/>
      <c r="AH430" s="754"/>
      <c r="AI430" s="754"/>
      <c r="AJ430" s="754"/>
      <c r="AK430" s="754"/>
      <c r="AL430" s="754"/>
      <c r="AM430" s="754"/>
      <c r="AN430" s="754"/>
      <c r="AO430" s="754"/>
      <c r="AP430" s="754"/>
      <c r="AQ430" s="754"/>
      <c r="AR430" s="754"/>
      <c r="AS430" s="754"/>
      <c r="AT430" s="754"/>
      <c r="AU430" s="754"/>
      <c r="AV430" s="616"/>
      <c r="AW430" s="616"/>
      <c r="AX430" s="616"/>
      <c r="AY430" s="616"/>
      <c r="AZ430" s="616"/>
    </row>
    <row r="431" spans="3:52" x14ac:dyDescent="0.25">
      <c r="C431" s="824"/>
      <c r="AA431" s="754"/>
      <c r="AB431" s="754"/>
      <c r="AC431" s="754"/>
      <c r="AD431" s="754"/>
      <c r="AE431" s="754"/>
      <c r="AF431" s="754"/>
      <c r="AG431" s="754"/>
      <c r="AH431" s="754"/>
      <c r="AI431" s="754"/>
      <c r="AJ431" s="754"/>
      <c r="AK431" s="754"/>
      <c r="AL431" s="754"/>
      <c r="AM431" s="754"/>
      <c r="AN431" s="754"/>
      <c r="AO431" s="754"/>
      <c r="AP431" s="754"/>
      <c r="AQ431" s="754"/>
      <c r="AR431" s="754"/>
      <c r="AS431" s="754"/>
      <c r="AT431" s="754"/>
      <c r="AU431" s="754"/>
      <c r="AV431" s="616"/>
      <c r="AW431" s="616"/>
      <c r="AX431" s="616"/>
      <c r="AY431" s="616"/>
      <c r="AZ431" s="616"/>
    </row>
    <row r="432" spans="3:52" x14ac:dyDescent="0.25">
      <c r="C432" s="824"/>
      <c r="AA432" s="754"/>
      <c r="AB432" s="754"/>
      <c r="AC432" s="754"/>
      <c r="AD432" s="754"/>
      <c r="AE432" s="754"/>
      <c r="AF432" s="754"/>
      <c r="AG432" s="754"/>
      <c r="AH432" s="754"/>
      <c r="AI432" s="754"/>
      <c r="AJ432" s="754"/>
      <c r="AK432" s="754"/>
      <c r="AL432" s="754"/>
      <c r="AM432" s="754"/>
      <c r="AN432" s="754"/>
      <c r="AO432" s="754"/>
      <c r="AP432" s="754"/>
      <c r="AQ432" s="754"/>
      <c r="AR432" s="754"/>
      <c r="AS432" s="754"/>
      <c r="AT432" s="754"/>
      <c r="AU432" s="754"/>
      <c r="AV432" s="616"/>
      <c r="AW432" s="616"/>
      <c r="AX432" s="616"/>
      <c r="AY432" s="616"/>
      <c r="AZ432" s="616"/>
    </row>
    <row r="433" spans="3:52" x14ac:dyDescent="0.25">
      <c r="C433" s="824"/>
      <c r="AA433" s="754"/>
      <c r="AB433" s="754"/>
      <c r="AC433" s="754"/>
      <c r="AD433" s="754"/>
      <c r="AE433" s="754"/>
      <c r="AF433" s="754"/>
      <c r="AG433" s="754"/>
      <c r="AH433" s="754"/>
      <c r="AI433" s="754"/>
      <c r="AJ433" s="754"/>
      <c r="AK433" s="754"/>
      <c r="AL433" s="754"/>
      <c r="AM433" s="754"/>
      <c r="AN433" s="754"/>
      <c r="AO433" s="754"/>
      <c r="AP433" s="754"/>
      <c r="AQ433" s="754"/>
      <c r="AR433" s="754"/>
      <c r="AS433" s="754"/>
      <c r="AT433" s="754"/>
      <c r="AU433" s="754"/>
      <c r="AV433" s="616"/>
      <c r="AW433" s="616"/>
      <c r="AX433" s="616"/>
      <c r="AY433" s="616"/>
      <c r="AZ433" s="616"/>
    </row>
    <row r="434" spans="3:52" x14ac:dyDescent="0.25">
      <c r="C434" s="824"/>
      <c r="AA434" s="754"/>
      <c r="AB434" s="754"/>
      <c r="AC434" s="754"/>
      <c r="AD434" s="754"/>
      <c r="AE434" s="754"/>
      <c r="AF434" s="754"/>
      <c r="AG434" s="754"/>
      <c r="AH434" s="754"/>
      <c r="AI434" s="754"/>
      <c r="AJ434" s="754"/>
      <c r="AK434" s="754"/>
      <c r="AL434" s="754"/>
      <c r="AM434" s="754"/>
      <c r="AN434" s="754"/>
      <c r="AO434" s="754"/>
      <c r="AP434" s="754"/>
      <c r="AQ434" s="754"/>
      <c r="AR434" s="754"/>
      <c r="AS434" s="754"/>
      <c r="AT434" s="754"/>
      <c r="AU434" s="754"/>
      <c r="AV434" s="616"/>
      <c r="AW434" s="616"/>
      <c r="AX434" s="616"/>
      <c r="AY434" s="616"/>
      <c r="AZ434" s="616"/>
    </row>
    <row r="435" spans="3:52" x14ac:dyDescent="0.25">
      <c r="C435" s="824"/>
      <c r="AA435" s="754"/>
      <c r="AB435" s="754"/>
      <c r="AC435" s="754"/>
      <c r="AD435" s="754"/>
      <c r="AE435" s="754"/>
      <c r="AF435" s="754"/>
      <c r="AG435" s="754"/>
      <c r="AH435" s="754"/>
      <c r="AI435" s="754"/>
      <c r="AJ435" s="754"/>
      <c r="AK435" s="754"/>
      <c r="AL435" s="754"/>
      <c r="AM435" s="754"/>
      <c r="AN435" s="754"/>
      <c r="AO435" s="754"/>
      <c r="AP435" s="754"/>
      <c r="AQ435" s="754"/>
      <c r="AR435" s="754"/>
      <c r="AS435" s="754"/>
      <c r="AT435" s="754"/>
      <c r="AU435" s="754"/>
      <c r="AV435" s="616"/>
      <c r="AW435" s="616"/>
      <c r="AX435" s="616"/>
      <c r="AY435" s="616"/>
      <c r="AZ435" s="616"/>
    </row>
    <row r="436" spans="3:52" x14ac:dyDescent="0.25">
      <c r="C436" s="824"/>
      <c r="AA436" s="754"/>
      <c r="AB436" s="754"/>
      <c r="AC436" s="754"/>
      <c r="AD436" s="754"/>
      <c r="AE436" s="754"/>
      <c r="AF436" s="754"/>
      <c r="AG436" s="754"/>
      <c r="AH436" s="754"/>
      <c r="AI436" s="754"/>
      <c r="AJ436" s="754"/>
      <c r="AK436" s="754"/>
      <c r="AL436" s="754"/>
      <c r="AM436" s="754"/>
      <c r="AN436" s="754"/>
      <c r="AO436" s="754"/>
      <c r="AP436" s="754"/>
      <c r="AQ436" s="754"/>
      <c r="AR436" s="754"/>
      <c r="AS436" s="754"/>
      <c r="AT436" s="754"/>
      <c r="AU436" s="754"/>
      <c r="AV436" s="616"/>
      <c r="AW436" s="616"/>
      <c r="AX436" s="616"/>
      <c r="AY436" s="616"/>
      <c r="AZ436" s="616"/>
    </row>
    <row r="437" spans="3:52" x14ac:dyDescent="0.25">
      <c r="C437" s="824"/>
      <c r="AA437" s="754"/>
      <c r="AB437" s="754"/>
      <c r="AC437" s="754"/>
      <c r="AD437" s="754"/>
      <c r="AE437" s="754"/>
      <c r="AF437" s="754"/>
      <c r="AG437" s="754"/>
      <c r="AH437" s="754"/>
      <c r="AI437" s="754"/>
      <c r="AJ437" s="754"/>
      <c r="AK437" s="754"/>
      <c r="AL437" s="754"/>
      <c r="AM437" s="754"/>
      <c r="AN437" s="754"/>
      <c r="AO437" s="754"/>
      <c r="AP437" s="754"/>
      <c r="AQ437" s="754"/>
      <c r="AR437" s="754"/>
      <c r="AS437" s="754"/>
      <c r="AT437" s="754"/>
      <c r="AU437" s="754"/>
      <c r="AV437" s="616"/>
      <c r="AW437" s="616"/>
      <c r="AX437" s="616"/>
      <c r="AY437" s="616"/>
      <c r="AZ437" s="616"/>
    </row>
    <row r="438" spans="3:52" x14ac:dyDescent="0.25">
      <c r="C438" s="824"/>
      <c r="AA438" s="754"/>
      <c r="AB438" s="754"/>
      <c r="AC438" s="754"/>
      <c r="AD438" s="754"/>
      <c r="AE438" s="754"/>
      <c r="AF438" s="754"/>
      <c r="AG438" s="754"/>
      <c r="AH438" s="754"/>
      <c r="AI438" s="754"/>
      <c r="AJ438" s="754"/>
      <c r="AK438" s="754"/>
      <c r="AL438" s="754"/>
      <c r="AM438" s="754"/>
      <c r="AN438" s="754"/>
      <c r="AO438" s="754"/>
      <c r="AP438" s="754"/>
      <c r="AQ438" s="754"/>
      <c r="AR438" s="754"/>
      <c r="AS438" s="754"/>
      <c r="AT438" s="754"/>
      <c r="AU438" s="754"/>
      <c r="AV438" s="616"/>
      <c r="AW438" s="616"/>
      <c r="AX438" s="616"/>
      <c r="AY438" s="616"/>
      <c r="AZ438" s="616"/>
    </row>
    <row r="439" spans="3:52" x14ac:dyDescent="0.25">
      <c r="C439" s="824"/>
      <c r="AA439" s="754"/>
      <c r="AB439" s="754"/>
      <c r="AC439" s="754"/>
      <c r="AD439" s="754"/>
      <c r="AE439" s="754"/>
      <c r="AF439" s="754"/>
      <c r="AG439" s="754"/>
      <c r="AH439" s="754"/>
      <c r="AI439" s="754"/>
      <c r="AJ439" s="754"/>
      <c r="AK439" s="754"/>
      <c r="AL439" s="754"/>
      <c r="AM439" s="754"/>
      <c r="AN439" s="754"/>
      <c r="AO439" s="754"/>
      <c r="AP439" s="754"/>
      <c r="AQ439" s="754"/>
      <c r="AR439" s="754"/>
      <c r="AS439" s="754"/>
      <c r="AT439" s="754"/>
      <c r="AU439" s="754"/>
      <c r="AV439" s="616"/>
      <c r="AW439" s="616"/>
      <c r="AX439" s="616"/>
      <c r="AY439" s="616"/>
      <c r="AZ439" s="616"/>
    </row>
    <row r="440" spans="3:52" x14ac:dyDescent="0.25">
      <c r="C440" s="824"/>
      <c r="AA440" s="754"/>
      <c r="AB440" s="754"/>
      <c r="AC440" s="754"/>
      <c r="AD440" s="754"/>
      <c r="AE440" s="754"/>
      <c r="AF440" s="754"/>
      <c r="AG440" s="754"/>
      <c r="AH440" s="754"/>
      <c r="AI440" s="754"/>
      <c r="AJ440" s="754"/>
      <c r="AK440" s="754"/>
      <c r="AL440" s="754"/>
      <c r="AM440" s="754"/>
      <c r="AN440" s="754"/>
      <c r="AO440" s="754"/>
      <c r="AP440" s="754"/>
      <c r="AQ440" s="754"/>
      <c r="AR440" s="754"/>
      <c r="AS440" s="754"/>
      <c r="AT440" s="754"/>
      <c r="AU440" s="754"/>
      <c r="AV440" s="616"/>
      <c r="AW440" s="616"/>
      <c r="AX440" s="616"/>
      <c r="AY440" s="616"/>
      <c r="AZ440" s="616"/>
    </row>
    <row r="441" spans="3:52" x14ac:dyDescent="0.25">
      <c r="C441" s="824"/>
      <c r="AA441" s="754"/>
      <c r="AB441" s="754"/>
      <c r="AC441" s="754"/>
      <c r="AD441" s="754"/>
      <c r="AE441" s="754"/>
      <c r="AF441" s="754"/>
      <c r="AG441" s="754"/>
      <c r="AH441" s="754"/>
      <c r="AI441" s="754"/>
      <c r="AJ441" s="754"/>
      <c r="AK441" s="754"/>
      <c r="AL441" s="754"/>
      <c r="AM441" s="754"/>
      <c r="AN441" s="754"/>
      <c r="AO441" s="754"/>
      <c r="AP441" s="754"/>
      <c r="AQ441" s="754"/>
      <c r="AR441" s="754"/>
      <c r="AS441" s="754"/>
      <c r="AT441" s="754"/>
      <c r="AU441" s="754"/>
      <c r="AV441" s="616"/>
      <c r="AW441" s="616"/>
      <c r="AX441" s="616"/>
      <c r="AY441" s="616"/>
      <c r="AZ441" s="616"/>
    </row>
    <row r="442" spans="3:52" x14ac:dyDescent="0.25">
      <c r="C442" s="824"/>
      <c r="AA442" s="754"/>
      <c r="AB442" s="754"/>
      <c r="AC442" s="754"/>
      <c r="AD442" s="754"/>
      <c r="AE442" s="754"/>
      <c r="AF442" s="754"/>
      <c r="AG442" s="754"/>
      <c r="AH442" s="754"/>
      <c r="AI442" s="754"/>
      <c r="AJ442" s="754"/>
      <c r="AK442" s="754"/>
      <c r="AL442" s="754"/>
      <c r="AM442" s="754"/>
      <c r="AN442" s="754"/>
      <c r="AO442" s="754"/>
      <c r="AP442" s="754"/>
      <c r="AQ442" s="754"/>
      <c r="AR442" s="754"/>
      <c r="AS442" s="754"/>
      <c r="AT442" s="754"/>
      <c r="AU442" s="754"/>
      <c r="AV442" s="616"/>
      <c r="AW442" s="616"/>
      <c r="AX442" s="616"/>
      <c r="AY442" s="616"/>
      <c r="AZ442" s="616"/>
    </row>
    <row r="443" spans="3:52" x14ac:dyDescent="0.25">
      <c r="C443" s="824"/>
      <c r="AA443" s="754"/>
      <c r="AB443" s="754"/>
      <c r="AC443" s="754"/>
      <c r="AD443" s="754"/>
      <c r="AE443" s="754"/>
      <c r="AF443" s="754"/>
      <c r="AG443" s="754"/>
      <c r="AH443" s="754"/>
      <c r="AI443" s="754"/>
      <c r="AJ443" s="754"/>
      <c r="AK443" s="754"/>
      <c r="AL443" s="754"/>
      <c r="AM443" s="754"/>
      <c r="AN443" s="754"/>
      <c r="AO443" s="754"/>
      <c r="AP443" s="754"/>
      <c r="AQ443" s="754"/>
      <c r="AR443" s="754"/>
      <c r="AS443" s="754"/>
      <c r="AT443" s="754"/>
      <c r="AU443" s="754"/>
      <c r="AV443" s="616"/>
      <c r="AW443" s="616"/>
      <c r="AX443" s="616"/>
      <c r="AY443" s="616"/>
      <c r="AZ443" s="616"/>
    </row>
    <row r="444" spans="3:52" x14ac:dyDescent="0.25">
      <c r="C444" s="824"/>
      <c r="AA444" s="754"/>
      <c r="AB444" s="754"/>
      <c r="AC444" s="754"/>
      <c r="AD444" s="754"/>
      <c r="AE444" s="754"/>
      <c r="AF444" s="754"/>
      <c r="AG444" s="754"/>
      <c r="AH444" s="754"/>
      <c r="AI444" s="754"/>
      <c r="AJ444" s="754"/>
      <c r="AK444" s="754"/>
      <c r="AL444" s="754"/>
      <c r="AM444" s="754"/>
      <c r="AN444" s="754"/>
      <c r="AO444" s="754"/>
      <c r="AP444" s="754"/>
      <c r="AQ444" s="754"/>
      <c r="AR444" s="754"/>
      <c r="AS444" s="754"/>
      <c r="AT444" s="754"/>
      <c r="AU444" s="754"/>
      <c r="AV444" s="616"/>
      <c r="AW444" s="616"/>
      <c r="AX444" s="616"/>
      <c r="AY444" s="616"/>
      <c r="AZ444" s="616"/>
    </row>
    <row r="445" spans="3:52" x14ac:dyDescent="0.25">
      <c r="C445" s="824"/>
      <c r="AA445" s="754"/>
      <c r="AB445" s="754"/>
      <c r="AC445" s="754"/>
      <c r="AD445" s="754"/>
      <c r="AE445" s="754"/>
      <c r="AF445" s="754"/>
      <c r="AG445" s="754"/>
      <c r="AH445" s="754"/>
      <c r="AI445" s="754"/>
      <c r="AJ445" s="754"/>
      <c r="AK445" s="754"/>
      <c r="AL445" s="754"/>
      <c r="AM445" s="754"/>
      <c r="AN445" s="754"/>
      <c r="AO445" s="754"/>
      <c r="AP445" s="754"/>
      <c r="AQ445" s="754"/>
      <c r="AR445" s="754"/>
      <c r="AS445" s="754"/>
      <c r="AT445" s="754"/>
      <c r="AU445" s="754"/>
      <c r="AV445" s="616"/>
      <c r="AW445" s="616"/>
      <c r="AX445" s="616"/>
      <c r="AY445" s="616"/>
      <c r="AZ445" s="616"/>
    </row>
    <row r="446" spans="3:52" x14ac:dyDescent="0.25">
      <c r="C446" s="824"/>
      <c r="AA446" s="754"/>
      <c r="AB446" s="754"/>
      <c r="AC446" s="754"/>
      <c r="AD446" s="754"/>
      <c r="AE446" s="754"/>
      <c r="AF446" s="754"/>
      <c r="AG446" s="754"/>
      <c r="AH446" s="754"/>
      <c r="AI446" s="754"/>
      <c r="AJ446" s="754"/>
      <c r="AK446" s="754"/>
      <c r="AL446" s="754"/>
      <c r="AM446" s="754"/>
      <c r="AN446" s="754"/>
      <c r="AO446" s="754"/>
      <c r="AP446" s="754"/>
      <c r="AQ446" s="754"/>
      <c r="AR446" s="754"/>
      <c r="AS446" s="754"/>
      <c r="AT446" s="754"/>
      <c r="AU446" s="754"/>
      <c r="AV446" s="616"/>
      <c r="AW446" s="616"/>
      <c r="AX446" s="616"/>
      <c r="AY446" s="616"/>
      <c r="AZ446" s="616"/>
    </row>
    <row r="447" spans="3:52" x14ac:dyDescent="0.25">
      <c r="C447" s="824"/>
      <c r="AA447" s="754"/>
      <c r="AB447" s="754"/>
      <c r="AC447" s="754"/>
      <c r="AD447" s="754"/>
      <c r="AE447" s="754"/>
      <c r="AF447" s="754"/>
      <c r="AG447" s="754"/>
      <c r="AH447" s="754"/>
      <c r="AI447" s="754"/>
      <c r="AJ447" s="754"/>
      <c r="AK447" s="754"/>
      <c r="AL447" s="754"/>
      <c r="AM447" s="754"/>
      <c r="AN447" s="754"/>
      <c r="AO447" s="754"/>
      <c r="AP447" s="754"/>
      <c r="AQ447" s="754"/>
      <c r="AR447" s="754"/>
      <c r="AS447" s="754"/>
      <c r="AT447" s="754"/>
      <c r="AU447" s="754"/>
      <c r="AV447" s="616"/>
      <c r="AW447" s="616"/>
      <c r="AX447" s="616"/>
      <c r="AY447" s="616"/>
      <c r="AZ447" s="616"/>
    </row>
    <row r="448" spans="3:52" x14ac:dyDescent="0.25">
      <c r="C448" s="824"/>
      <c r="AA448" s="754"/>
      <c r="AB448" s="754"/>
      <c r="AC448" s="754"/>
      <c r="AD448" s="754"/>
      <c r="AE448" s="754"/>
      <c r="AF448" s="754"/>
      <c r="AG448" s="754"/>
      <c r="AH448" s="754"/>
      <c r="AI448" s="754"/>
      <c r="AJ448" s="754"/>
      <c r="AK448" s="754"/>
      <c r="AL448" s="754"/>
      <c r="AM448" s="754"/>
      <c r="AN448" s="754"/>
      <c r="AO448" s="754"/>
      <c r="AP448" s="754"/>
      <c r="AQ448" s="754"/>
      <c r="AR448" s="754"/>
      <c r="AS448" s="754"/>
      <c r="AT448" s="754"/>
      <c r="AU448" s="754"/>
      <c r="AV448" s="616"/>
      <c r="AW448" s="616"/>
      <c r="AX448" s="616"/>
      <c r="AY448" s="616"/>
      <c r="AZ448" s="616"/>
    </row>
    <row r="449" spans="3:52" x14ac:dyDescent="0.25">
      <c r="C449" s="824"/>
      <c r="AA449" s="754"/>
      <c r="AB449" s="754"/>
      <c r="AC449" s="754"/>
      <c r="AD449" s="754"/>
      <c r="AE449" s="754"/>
      <c r="AF449" s="754"/>
      <c r="AG449" s="754"/>
      <c r="AH449" s="754"/>
      <c r="AI449" s="754"/>
      <c r="AJ449" s="754"/>
      <c r="AK449" s="754"/>
      <c r="AL449" s="754"/>
      <c r="AM449" s="754"/>
      <c r="AN449" s="754"/>
      <c r="AO449" s="754"/>
      <c r="AP449" s="754"/>
      <c r="AQ449" s="754"/>
      <c r="AR449" s="754"/>
      <c r="AS449" s="754"/>
      <c r="AT449" s="754"/>
      <c r="AU449" s="754"/>
      <c r="AV449" s="616"/>
      <c r="AW449" s="616"/>
      <c r="AX449" s="616"/>
      <c r="AY449" s="616"/>
      <c r="AZ449" s="616"/>
    </row>
    <row r="450" spans="3:52" x14ac:dyDescent="0.25">
      <c r="C450" s="824"/>
      <c r="AA450" s="754"/>
      <c r="AB450" s="754"/>
      <c r="AC450" s="754"/>
      <c r="AD450" s="754"/>
      <c r="AE450" s="754"/>
      <c r="AF450" s="754"/>
      <c r="AG450" s="754"/>
      <c r="AH450" s="754"/>
      <c r="AI450" s="754"/>
      <c r="AJ450" s="754"/>
      <c r="AK450" s="754"/>
      <c r="AL450" s="754"/>
      <c r="AM450" s="754"/>
      <c r="AN450" s="754"/>
      <c r="AO450" s="754"/>
      <c r="AP450" s="754"/>
      <c r="AQ450" s="754"/>
      <c r="AR450" s="754"/>
      <c r="AS450" s="754"/>
      <c r="AT450" s="754"/>
      <c r="AU450" s="754"/>
      <c r="AV450" s="616"/>
      <c r="AW450" s="616"/>
      <c r="AX450" s="616"/>
      <c r="AY450" s="616"/>
      <c r="AZ450" s="616"/>
    </row>
    <row r="451" spans="3:52" x14ac:dyDescent="0.25">
      <c r="C451" s="824"/>
      <c r="AA451" s="754"/>
      <c r="AB451" s="754"/>
      <c r="AC451" s="754"/>
      <c r="AD451" s="754"/>
      <c r="AE451" s="754"/>
      <c r="AF451" s="754"/>
      <c r="AG451" s="754"/>
      <c r="AH451" s="754"/>
      <c r="AI451" s="754"/>
      <c r="AJ451" s="754"/>
      <c r="AK451" s="754"/>
      <c r="AL451" s="754"/>
      <c r="AM451" s="754"/>
      <c r="AN451" s="754"/>
      <c r="AO451" s="754"/>
      <c r="AP451" s="754"/>
      <c r="AQ451" s="754"/>
      <c r="AR451" s="754"/>
      <c r="AS451" s="754"/>
      <c r="AT451" s="754"/>
      <c r="AU451" s="754"/>
      <c r="AV451" s="616"/>
      <c r="AW451" s="616"/>
      <c r="AX451" s="616"/>
      <c r="AY451" s="616"/>
      <c r="AZ451" s="616"/>
    </row>
    <row r="452" spans="3:52" x14ac:dyDescent="0.25">
      <c r="C452" s="824"/>
      <c r="AA452" s="754"/>
      <c r="AB452" s="754"/>
      <c r="AC452" s="754"/>
      <c r="AD452" s="754"/>
      <c r="AE452" s="754"/>
      <c r="AF452" s="754"/>
      <c r="AG452" s="754"/>
      <c r="AH452" s="754"/>
      <c r="AI452" s="754"/>
      <c r="AJ452" s="754"/>
      <c r="AK452" s="754"/>
      <c r="AL452" s="754"/>
      <c r="AM452" s="754"/>
      <c r="AN452" s="754"/>
      <c r="AO452" s="754"/>
      <c r="AP452" s="754"/>
      <c r="AQ452" s="754"/>
      <c r="AR452" s="754"/>
      <c r="AS452" s="754"/>
      <c r="AT452" s="754"/>
      <c r="AU452" s="754"/>
      <c r="AV452" s="616"/>
      <c r="AW452" s="616"/>
      <c r="AX452" s="616"/>
      <c r="AY452" s="616"/>
      <c r="AZ452" s="616"/>
    </row>
    <row r="453" spans="3:52" x14ac:dyDescent="0.25">
      <c r="C453" s="824"/>
      <c r="AA453" s="754"/>
      <c r="AB453" s="754"/>
      <c r="AC453" s="754"/>
      <c r="AD453" s="754"/>
      <c r="AE453" s="754"/>
      <c r="AF453" s="754"/>
      <c r="AG453" s="754"/>
      <c r="AH453" s="754"/>
      <c r="AI453" s="754"/>
      <c r="AJ453" s="754"/>
      <c r="AK453" s="754"/>
      <c r="AL453" s="754"/>
      <c r="AM453" s="754"/>
      <c r="AN453" s="754"/>
      <c r="AO453" s="754"/>
      <c r="AP453" s="754"/>
      <c r="AQ453" s="754"/>
      <c r="AR453" s="754"/>
      <c r="AS453" s="754"/>
      <c r="AT453" s="754"/>
      <c r="AU453" s="754"/>
      <c r="AV453" s="616"/>
      <c r="AW453" s="616"/>
      <c r="AX453" s="616"/>
      <c r="AY453" s="616"/>
      <c r="AZ453" s="616"/>
    </row>
    <row r="454" spans="3:52" x14ac:dyDescent="0.25">
      <c r="C454" s="824"/>
      <c r="AA454" s="754"/>
      <c r="AB454" s="754"/>
      <c r="AC454" s="754"/>
      <c r="AD454" s="754"/>
      <c r="AE454" s="754"/>
      <c r="AF454" s="754"/>
      <c r="AG454" s="754"/>
      <c r="AH454" s="754"/>
      <c r="AI454" s="754"/>
      <c r="AJ454" s="754"/>
      <c r="AK454" s="754"/>
      <c r="AL454" s="754"/>
      <c r="AM454" s="754"/>
      <c r="AN454" s="754"/>
      <c r="AO454" s="754"/>
      <c r="AP454" s="754"/>
      <c r="AQ454" s="754"/>
      <c r="AR454" s="754"/>
      <c r="AS454" s="754"/>
      <c r="AT454" s="754"/>
      <c r="AU454" s="754"/>
      <c r="AV454" s="616"/>
      <c r="AW454" s="616"/>
      <c r="AX454" s="616"/>
      <c r="AY454" s="616"/>
      <c r="AZ454" s="616"/>
    </row>
    <row r="455" spans="3:52" x14ac:dyDescent="0.25">
      <c r="C455" s="824"/>
      <c r="AA455" s="754"/>
      <c r="AB455" s="754"/>
      <c r="AC455" s="754"/>
      <c r="AD455" s="754"/>
      <c r="AE455" s="754"/>
      <c r="AF455" s="754"/>
      <c r="AG455" s="754"/>
      <c r="AH455" s="754"/>
      <c r="AI455" s="754"/>
      <c r="AJ455" s="754"/>
      <c r="AK455" s="754"/>
      <c r="AL455" s="754"/>
      <c r="AM455" s="754"/>
      <c r="AN455" s="754"/>
      <c r="AO455" s="754"/>
      <c r="AP455" s="754"/>
      <c r="AQ455" s="754"/>
      <c r="AR455" s="754"/>
      <c r="AS455" s="754"/>
      <c r="AT455" s="754"/>
      <c r="AU455" s="754"/>
      <c r="AV455" s="616"/>
      <c r="AW455" s="616"/>
      <c r="AX455" s="616"/>
      <c r="AY455" s="616"/>
      <c r="AZ455" s="616"/>
    </row>
    <row r="456" spans="3:52" x14ac:dyDescent="0.25">
      <c r="C456" s="824"/>
      <c r="AA456" s="754"/>
      <c r="AB456" s="754"/>
      <c r="AC456" s="754"/>
      <c r="AD456" s="754"/>
      <c r="AE456" s="754"/>
      <c r="AF456" s="754"/>
      <c r="AG456" s="754"/>
      <c r="AH456" s="754"/>
      <c r="AI456" s="754"/>
      <c r="AJ456" s="754"/>
      <c r="AK456" s="754"/>
      <c r="AL456" s="754"/>
      <c r="AM456" s="754"/>
      <c r="AN456" s="754"/>
      <c r="AO456" s="754"/>
      <c r="AP456" s="754"/>
      <c r="AQ456" s="754"/>
      <c r="AR456" s="754"/>
      <c r="AS456" s="754"/>
      <c r="AT456" s="754"/>
      <c r="AU456" s="754"/>
      <c r="AV456" s="616"/>
      <c r="AW456" s="616"/>
      <c r="AX456" s="616"/>
      <c r="AY456" s="616"/>
      <c r="AZ456" s="616"/>
    </row>
    <row r="457" spans="3:52" x14ac:dyDescent="0.25">
      <c r="C457" s="824"/>
      <c r="AA457" s="754"/>
      <c r="AB457" s="754"/>
      <c r="AC457" s="754"/>
      <c r="AD457" s="754"/>
      <c r="AE457" s="754"/>
      <c r="AF457" s="754"/>
      <c r="AG457" s="754"/>
      <c r="AH457" s="754"/>
      <c r="AI457" s="754"/>
      <c r="AJ457" s="754"/>
      <c r="AK457" s="754"/>
      <c r="AL457" s="754"/>
      <c r="AM457" s="754"/>
      <c r="AN457" s="754"/>
      <c r="AO457" s="754"/>
      <c r="AP457" s="754"/>
      <c r="AQ457" s="754"/>
      <c r="AR457" s="754"/>
      <c r="AS457" s="754"/>
      <c r="AT457" s="754"/>
      <c r="AU457" s="754"/>
      <c r="AV457" s="616"/>
      <c r="AW457" s="616"/>
      <c r="AX457" s="616"/>
      <c r="AY457" s="616"/>
      <c r="AZ457" s="616"/>
    </row>
    <row r="458" spans="3:52" x14ac:dyDescent="0.25">
      <c r="C458" s="824"/>
      <c r="AA458" s="754"/>
      <c r="AB458" s="754"/>
      <c r="AC458" s="754"/>
      <c r="AD458" s="754"/>
      <c r="AE458" s="754"/>
      <c r="AF458" s="754"/>
      <c r="AG458" s="754"/>
      <c r="AH458" s="754"/>
      <c r="AI458" s="754"/>
      <c r="AJ458" s="754"/>
      <c r="AK458" s="754"/>
      <c r="AL458" s="754"/>
      <c r="AM458" s="754"/>
      <c r="AN458" s="754"/>
      <c r="AO458" s="754"/>
      <c r="AP458" s="754"/>
      <c r="AQ458" s="754"/>
      <c r="AR458" s="754"/>
      <c r="AS458" s="754"/>
      <c r="AT458" s="754"/>
      <c r="AU458" s="754"/>
      <c r="AV458" s="616"/>
      <c r="AW458" s="616"/>
      <c r="AX458" s="616"/>
      <c r="AY458" s="616"/>
      <c r="AZ458" s="616"/>
    </row>
    <row r="459" spans="3:52" x14ac:dyDescent="0.25">
      <c r="C459" s="824"/>
      <c r="AA459" s="754"/>
      <c r="AB459" s="754"/>
      <c r="AC459" s="754"/>
      <c r="AD459" s="754"/>
      <c r="AE459" s="754"/>
      <c r="AF459" s="754"/>
      <c r="AG459" s="754"/>
      <c r="AH459" s="754"/>
      <c r="AI459" s="754"/>
      <c r="AJ459" s="754"/>
      <c r="AK459" s="754"/>
      <c r="AL459" s="754"/>
      <c r="AM459" s="754"/>
      <c r="AN459" s="754"/>
      <c r="AO459" s="754"/>
      <c r="AP459" s="754"/>
      <c r="AQ459" s="754"/>
      <c r="AR459" s="754"/>
      <c r="AS459" s="754"/>
      <c r="AT459" s="754"/>
      <c r="AU459" s="754"/>
      <c r="AV459" s="616"/>
      <c r="AW459" s="616"/>
      <c r="AX459" s="616"/>
      <c r="AY459" s="616"/>
      <c r="AZ459" s="616"/>
    </row>
    <row r="460" spans="3:52" x14ac:dyDescent="0.25">
      <c r="C460" s="824"/>
      <c r="AA460" s="754"/>
      <c r="AB460" s="754"/>
      <c r="AC460" s="754"/>
      <c r="AD460" s="754"/>
      <c r="AE460" s="754"/>
      <c r="AF460" s="754"/>
      <c r="AG460" s="754"/>
      <c r="AH460" s="754"/>
      <c r="AI460" s="754"/>
      <c r="AJ460" s="754"/>
      <c r="AK460" s="754"/>
      <c r="AL460" s="754"/>
      <c r="AM460" s="754"/>
      <c r="AN460" s="754"/>
      <c r="AO460" s="754"/>
      <c r="AP460" s="754"/>
      <c r="AQ460" s="754"/>
      <c r="AR460" s="754"/>
      <c r="AS460" s="754"/>
      <c r="AT460" s="754"/>
      <c r="AU460" s="754"/>
      <c r="AV460" s="616"/>
      <c r="AW460" s="616"/>
      <c r="AX460" s="616"/>
      <c r="AY460" s="616"/>
      <c r="AZ460" s="616"/>
    </row>
    <row r="461" spans="3:52" x14ac:dyDescent="0.25">
      <c r="C461" s="824"/>
      <c r="AA461" s="754"/>
      <c r="AB461" s="754"/>
      <c r="AC461" s="754"/>
      <c r="AD461" s="754"/>
      <c r="AE461" s="754"/>
      <c r="AF461" s="754"/>
      <c r="AG461" s="754"/>
      <c r="AH461" s="754"/>
      <c r="AI461" s="754"/>
      <c r="AJ461" s="754"/>
      <c r="AK461" s="754"/>
      <c r="AL461" s="754"/>
      <c r="AM461" s="754"/>
      <c r="AN461" s="754"/>
      <c r="AO461" s="754"/>
      <c r="AP461" s="754"/>
      <c r="AQ461" s="754"/>
      <c r="AR461" s="754"/>
      <c r="AS461" s="754"/>
      <c r="AT461" s="754"/>
      <c r="AU461" s="754"/>
      <c r="AV461" s="616"/>
      <c r="AW461" s="616"/>
      <c r="AX461" s="616"/>
      <c r="AY461" s="616"/>
      <c r="AZ461" s="616"/>
    </row>
    <row r="462" spans="3:52" x14ac:dyDescent="0.25">
      <c r="C462" s="824"/>
      <c r="AA462" s="754"/>
      <c r="AB462" s="754"/>
      <c r="AC462" s="754"/>
      <c r="AD462" s="754"/>
      <c r="AE462" s="754"/>
      <c r="AF462" s="754"/>
      <c r="AG462" s="754"/>
      <c r="AH462" s="754"/>
      <c r="AI462" s="754"/>
      <c r="AJ462" s="754"/>
      <c r="AK462" s="754"/>
      <c r="AL462" s="754"/>
      <c r="AM462" s="754"/>
      <c r="AN462" s="754"/>
      <c r="AO462" s="754"/>
      <c r="AP462" s="754"/>
      <c r="AQ462" s="754"/>
      <c r="AR462" s="754"/>
      <c r="AS462" s="754"/>
      <c r="AT462" s="754"/>
      <c r="AU462" s="754"/>
      <c r="AV462" s="616"/>
      <c r="AW462" s="616"/>
      <c r="AX462" s="616"/>
      <c r="AY462" s="616"/>
      <c r="AZ462" s="616"/>
    </row>
    <row r="463" spans="3:52" x14ac:dyDescent="0.25">
      <c r="C463" s="824"/>
      <c r="AA463" s="754"/>
      <c r="AB463" s="754"/>
      <c r="AC463" s="754"/>
      <c r="AD463" s="754"/>
      <c r="AE463" s="754"/>
      <c r="AF463" s="754"/>
      <c r="AG463" s="754"/>
      <c r="AH463" s="754"/>
      <c r="AI463" s="754"/>
      <c r="AJ463" s="754"/>
      <c r="AK463" s="754"/>
      <c r="AL463" s="754"/>
      <c r="AM463" s="754"/>
      <c r="AN463" s="754"/>
      <c r="AO463" s="754"/>
      <c r="AP463" s="754"/>
      <c r="AQ463" s="754"/>
      <c r="AR463" s="754"/>
      <c r="AS463" s="754"/>
      <c r="AT463" s="754"/>
      <c r="AU463" s="754"/>
      <c r="AV463" s="616"/>
      <c r="AW463" s="616"/>
      <c r="AX463" s="616"/>
      <c r="AY463" s="616"/>
      <c r="AZ463" s="616"/>
    </row>
    <row r="464" spans="3:52" x14ac:dyDescent="0.25">
      <c r="C464" s="824"/>
      <c r="AA464" s="754"/>
      <c r="AB464" s="754"/>
      <c r="AC464" s="754"/>
      <c r="AD464" s="754"/>
      <c r="AE464" s="754"/>
      <c r="AF464" s="754"/>
      <c r="AG464" s="754"/>
      <c r="AH464" s="754"/>
      <c r="AI464" s="754"/>
      <c r="AJ464" s="754"/>
      <c r="AK464" s="754"/>
      <c r="AL464" s="754"/>
      <c r="AM464" s="754"/>
      <c r="AN464" s="754"/>
      <c r="AO464" s="754"/>
      <c r="AP464" s="754"/>
      <c r="AQ464" s="754"/>
      <c r="AR464" s="754"/>
      <c r="AS464" s="754"/>
      <c r="AT464" s="754"/>
      <c r="AU464" s="754"/>
      <c r="AV464" s="616"/>
      <c r="AW464" s="616"/>
      <c r="AX464" s="616"/>
      <c r="AY464" s="616"/>
      <c r="AZ464" s="616"/>
    </row>
    <row r="465" spans="3:52" x14ac:dyDescent="0.25">
      <c r="C465" s="824"/>
      <c r="AA465" s="754"/>
      <c r="AB465" s="754"/>
      <c r="AC465" s="754"/>
      <c r="AD465" s="754"/>
      <c r="AE465" s="754"/>
      <c r="AF465" s="754"/>
      <c r="AG465" s="754"/>
      <c r="AH465" s="754"/>
      <c r="AI465" s="754"/>
      <c r="AJ465" s="754"/>
      <c r="AK465" s="754"/>
      <c r="AL465" s="754"/>
      <c r="AM465" s="754"/>
      <c r="AN465" s="754"/>
      <c r="AO465" s="754"/>
      <c r="AP465" s="754"/>
      <c r="AQ465" s="754"/>
      <c r="AR465" s="754"/>
      <c r="AS465" s="754"/>
      <c r="AT465" s="754"/>
      <c r="AU465" s="754"/>
      <c r="AV465" s="616"/>
      <c r="AW465" s="616"/>
      <c r="AX465" s="616"/>
      <c r="AY465" s="616"/>
      <c r="AZ465" s="616"/>
    </row>
    <row r="466" spans="3:52" x14ac:dyDescent="0.25">
      <c r="C466" s="824"/>
      <c r="AA466" s="754"/>
      <c r="AB466" s="754"/>
      <c r="AC466" s="754"/>
      <c r="AD466" s="754"/>
      <c r="AE466" s="754"/>
      <c r="AF466" s="754"/>
      <c r="AG466" s="754"/>
      <c r="AH466" s="754"/>
      <c r="AI466" s="754"/>
      <c r="AJ466" s="754"/>
      <c r="AK466" s="754"/>
      <c r="AL466" s="754"/>
      <c r="AM466" s="754"/>
      <c r="AN466" s="754"/>
      <c r="AO466" s="754"/>
      <c r="AP466" s="754"/>
      <c r="AQ466" s="754"/>
      <c r="AR466" s="754"/>
      <c r="AS466" s="754"/>
      <c r="AT466" s="754"/>
      <c r="AU466" s="754"/>
      <c r="AV466" s="616"/>
      <c r="AW466" s="616"/>
      <c r="AX466" s="616"/>
      <c r="AY466" s="616"/>
      <c r="AZ466" s="616"/>
    </row>
    <row r="467" spans="3:52" x14ac:dyDescent="0.25">
      <c r="C467" s="824"/>
      <c r="AA467" s="754"/>
      <c r="AB467" s="754"/>
      <c r="AC467" s="754"/>
      <c r="AD467" s="754"/>
      <c r="AE467" s="754"/>
      <c r="AF467" s="754"/>
      <c r="AG467" s="754"/>
      <c r="AH467" s="754"/>
      <c r="AI467" s="754"/>
      <c r="AJ467" s="754"/>
      <c r="AK467" s="754"/>
      <c r="AL467" s="754"/>
      <c r="AM467" s="754"/>
      <c r="AN467" s="754"/>
      <c r="AO467" s="754"/>
      <c r="AP467" s="754"/>
      <c r="AQ467" s="754"/>
      <c r="AR467" s="754"/>
      <c r="AS467" s="754"/>
      <c r="AT467" s="754"/>
      <c r="AU467" s="754"/>
      <c r="AV467" s="616"/>
      <c r="AW467" s="616"/>
      <c r="AX467" s="616"/>
      <c r="AY467" s="616"/>
      <c r="AZ467" s="616"/>
    </row>
    <row r="468" spans="3:52" x14ac:dyDescent="0.25">
      <c r="C468" s="824"/>
      <c r="AA468" s="754"/>
      <c r="AB468" s="754"/>
      <c r="AC468" s="754"/>
      <c r="AD468" s="754"/>
      <c r="AE468" s="754"/>
      <c r="AF468" s="754"/>
      <c r="AG468" s="754"/>
      <c r="AH468" s="754"/>
      <c r="AI468" s="754"/>
      <c r="AJ468" s="754"/>
      <c r="AK468" s="754"/>
      <c r="AL468" s="754"/>
      <c r="AM468" s="754"/>
      <c r="AN468" s="754"/>
      <c r="AO468" s="754"/>
      <c r="AP468" s="754"/>
      <c r="AQ468" s="754"/>
      <c r="AR468" s="754"/>
      <c r="AS468" s="754"/>
      <c r="AT468" s="754"/>
      <c r="AU468" s="754"/>
      <c r="AV468" s="616"/>
      <c r="AW468" s="616"/>
      <c r="AX468" s="616"/>
      <c r="AY468" s="616"/>
      <c r="AZ468" s="616"/>
    </row>
    <row r="469" spans="3:52" x14ac:dyDescent="0.25">
      <c r="C469" s="824"/>
      <c r="AA469" s="754"/>
      <c r="AB469" s="754"/>
      <c r="AC469" s="754"/>
      <c r="AD469" s="754"/>
      <c r="AE469" s="754"/>
      <c r="AF469" s="754"/>
      <c r="AG469" s="754"/>
      <c r="AH469" s="754"/>
      <c r="AI469" s="754"/>
      <c r="AJ469" s="754"/>
      <c r="AK469" s="754"/>
      <c r="AL469" s="754"/>
      <c r="AM469" s="754"/>
      <c r="AN469" s="754"/>
      <c r="AO469" s="754"/>
      <c r="AP469" s="754"/>
      <c r="AQ469" s="754"/>
      <c r="AR469" s="754"/>
      <c r="AS469" s="754"/>
      <c r="AT469" s="754"/>
      <c r="AU469" s="754"/>
      <c r="AV469" s="616"/>
      <c r="AW469" s="616"/>
      <c r="AX469" s="616"/>
      <c r="AY469" s="616"/>
      <c r="AZ469" s="616"/>
    </row>
    <row r="470" spans="3:52" x14ac:dyDescent="0.25">
      <c r="C470" s="824"/>
      <c r="AA470" s="754"/>
      <c r="AB470" s="754"/>
      <c r="AC470" s="754"/>
      <c r="AD470" s="754"/>
      <c r="AE470" s="754"/>
      <c r="AF470" s="754"/>
      <c r="AG470" s="754"/>
      <c r="AH470" s="754"/>
      <c r="AI470" s="754"/>
      <c r="AJ470" s="754"/>
      <c r="AK470" s="754"/>
      <c r="AL470" s="754"/>
      <c r="AM470" s="754"/>
      <c r="AN470" s="754"/>
      <c r="AO470" s="754"/>
      <c r="AP470" s="754"/>
      <c r="AQ470" s="754"/>
      <c r="AR470" s="754"/>
      <c r="AS470" s="754"/>
      <c r="AT470" s="754"/>
      <c r="AU470" s="754"/>
      <c r="AV470" s="616"/>
      <c r="AW470" s="616"/>
      <c r="AX470" s="616"/>
      <c r="AY470" s="616"/>
      <c r="AZ470" s="616"/>
    </row>
    <row r="471" spans="3:52" x14ac:dyDescent="0.25">
      <c r="C471" s="824"/>
      <c r="AA471" s="754"/>
      <c r="AB471" s="754"/>
      <c r="AC471" s="754"/>
      <c r="AD471" s="754"/>
      <c r="AE471" s="754"/>
      <c r="AF471" s="754"/>
      <c r="AG471" s="754"/>
      <c r="AH471" s="754"/>
      <c r="AI471" s="754"/>
      <c r="AJ471" s="754"/>
      <c r="AK471" s="754"/>
      <c r="AL471" s="754"/>
      <c r="AM471" s="754"/>
      <c r="AN471" s="754"/>
      <c r="AO471" s="754"/>
      <c r="AP471" s="754"/>
      <c r="AQ471" s="754"/>
      <c r="AR471" s="754"/>
      <c r="AS471" s="754"/>
      <c r="AT471" s="754"/>
      <c r="AU471" s="754"/>
      <c r="AV471" s="616"/>
      <c r="AW471" s="616"/>
      <c r="AX471" s="616"/>
      <c r="AY471" s="616"/>
      <c r="AZ471" s="616"/>
    </row>
    <row r="472" spans="3:52" x14ac:dyDescent="0.25">
      <c r="C472" s="824"/>
      <c r="AA472" s="754"/>
      <c r="AB472" s="754"/>
      <c r="AC472" s="754"/>
      <c r="AD472" s="754"/>
      <c r="AE472" s="754"/>
      <c r="AF472" s="754"/>
      <c r="AG472" s="754"/>
      <c r="AH472" s="754"/>
      <c r="AI472" s="754"/>
      <c r="AJ472" s="754"/>
      <c r="AK472" s="754"/>
      <c r="AL472" s="754"/>
      <c r="AM472" s="754"/>
      <c r="AN472" s="754"/>
      <c r="AO472" s="754"/>
      <c r="AP472" s="754"/>
      <c r="AQ472" s="754"/>
      <c r="AR472" s="754"/>
      <c r="AS472" s="754"/>
      <c r="AT472" s="754"/>
      <c r="AU472" s="754"/>
      <c r="AV472" s="616"/>
      <c r="AW472" s="616"/>
      <c r="AX472" s="616"/>
      <c r="AY472" s="616"/>
      <c r="AZ472" s="616"/>
    </row>
    <row r="473" spans="3:52" x14ac:dyDescent="0.25">
      <c r="C473" s="824"/>
      <c r="AA473" s="754"/>
      <c r="AB473" s="754"/>
      <c r="AC473" s="754"/>
      <c r="AD473" s="754"/>
      <c r="AE473" s="754"/>
      <c r="AF473" s="754"/>
      <c r="AG473" s="754"/>
      <c r="AH473" s="754"/>
      <c r="AI473" s="754"/>
      <c r="AJ473" s="754"/>
      <c r="AK473" s="754"/>
      <c r="AL473" s="754"/>
      <c r="AM473" s="754"/>
      <c r="AN473" s="754"/>
      <c r="AO473" s="754"/>
      <c r="AP473" s="754"/>
      <c r="AQ473" s="754"/>
      <c r="AR473" s="754"/>
      <c r="AS473" s="754"/>
      <c r="AT473" s="754"/>
      <c r="AU473" s="754"/>
      <c r="AV473" s="616"/>
      <c r="AW473" s="616"/>
      <c r="AX473" s="616"/>
      <c r="AY473" s="616"/>
      <c r="AZ473" s="616"/>
    </row>
    <row r="474" spans="3:52" x14ac:dyDescent="0.25">
      <c r="C474" s="824"/>
      <c r="AA474" s="754"/>
      <c r="AB474" s="754"/>
      <c r="AC474" s="754"/>
      <c r="AD474" s="754"/>
      <c r="AE474" s="754"/>
      <c r="AF474" s="754"/>
      <c r="AG474" s="754"/>
      <c r="AH474" s="754"/>
      <c r="AI474" s="754"/>
      <c r="AJ474" s="754"/>
      <c r="AK474" s="754"/>
      <c r="AL474" s="754"/>
      <c r="AM474" s="754"/>
      <c r="AN474" s="754"/>
      <c r="AO474" s="754"/>
      <c r="AP474" s="754"/>
      <c r="AQ474" s="754"/>
      <c r="AR474" s="754"/>
      <c r="AS474" s="754"/>
      <c r="AT474" s="754"/>
      <c r="AU474" s="754"/>
      <c r="AV474" s="616"/>
      <c r="AW474" s="616"/>
      <c r="AX474" s="616"/>
      <c r="AY474" s="616"/>
      <c r="AZ474" s="616"/>
    </row>
    <row r="475" spans="3:52" x14ac:dyDescent="0.25">
      <c r="C475" s="824"/>
      <c r="AA475" s="754"/>
      <c r="AB475" s="754"/>
      <c r="AC475" s="754"/>
      <c r="AD475" s="754"/>
      <c r="AE475" s="754"/>
      <c r="AF475" s="754"/>
      <c r="AG475" s="754"/>
      <c r="AH475" s="754"/>
      <c r="AI475" s="754"/>
      <c r="AJ475" s="754"/>
      <c r="AK475" s="754"/>
      <c r="AL475" s="754"/>
      <c r="AM475" s="754"/>
      <c r="AN475" s="754"/>
      <c r="AO475" s="754"/>
      <c r="AP475" s="754"/>
      <c r="AQ475" s="754"/>
      <c r="AR475" s="754"/>
      <c r="AS475" s="754"/>
      <c r="AT475" s="754"/>
      <c r="AU475" s="754"/>
      <c r="AV475" s="616"/>
      <c r="AW475" s="616"/>
      <c r="AX475" s="616"/>
      <c r="AY475" s="616"/>
      <c r="AZ475" s="616"/>
    </row>
    <row r="476" spans="3:52" x14ac:dyDescent="0.25">
      <c r="C476" s="824"/>
      <c r="AA476" s="754"/>
      <c r="AB476" s="754"/>
      <c r="AC476" s="754"/>
      <c r="AD476" s="754"/>
      <c r="AE476" s="754"/>
      <c r="AF476" s="754"/>
      <c r="AG476" s="754"/>
      <c r="AH476" s="754"/>
      <c r="AI476" s="754"/>
      <c r="AJ476" s="754"/>
      <c r="AK476" s="754"/>
      <c r="AL476" s="754"/>
      <c r="AM476" s="754"/>
      <c r="AN476" s="754"/>
      <c r="AO476" s="754"/>
      <c r="AP476" s="754"/>
      <c r="AQ476" s="754"/>
      <c r="AR476" s="754"/>
      <c r="AS476" s="754"/>
      <c r="AT476" s="754"/>
      <c r="AU476" s="754"/>
      <c r="AV476" s="616"/>
      <c r="AW476" s="616"/>
      <c r="AX476" s="616"/>
      <c r="AY476" s="616"/>
      <c r="AZ476" s="616"/>
    </row>
    <row r="477" spans="3:52" x14ac:dyDescent="0.25">
      <c r="C477" s="824"/>
      <c r="AA477" s="754"/>
      <c r="AB477" s="754"/>
      <c r="AC477" s="754"/>
      <c r="AD477" s="754"/>
      <c r="AE477" s="754"/>
      <c r="AF477" s="754"/>
      <c r="AG477" s="754"/>
      <c r="AH477" s="754"/>
      <c r="AI477" s="754"/>
      <c r="AJ477" s="754"/>
      <c r="AK477" s="754"/>
      <c r="AL477" s="754"/>
      <c r="AM477" s="754"/>
      <c r="AN477" s="754"/>
      <c r="AO477" s="754"/>
      <c r="AP477" s="754"/>
      <c r="AQ477" s="754"/>
      <c r="AR477" s="754"/>
      <c r="AS477" s="754"/>
      <c r="AT477" s="754"/>
      <c r="AU477" s="754"/>
      <c r="AV477" s="616"/>
      <c r="AW477" s="616"/>
      <c r="AX477" s="616"/>
      <c r="AY477" s="616"/>
      <c r="AZ477" s="616"/>
    </row>
    <row r="478" spans="3:52" x14ac:dyDescent="0.25">
      <c r="C478" s="824"/>
      <c r="AA478" s="754"/>
      <c r="AB478" s="754"/>
      <c r="AC478" s="754"/>
      <c r="AD478" s="754"/>
      <c r="AE478" s="754"/>
      <c r="AF478" s="754"/>
      <c r="AG478" s="754"/>
      <c r="AH478" s="754"/>
      <c r="AI478" s="754"/>
      <c r="AJ478" s="754"/>
      <c r="AK478" s="754"/>
      <c r="AL478" s="754"/>
      <c r="AM478" s="754"/>
      <c r="AN478" s="754"/>
      <c r="AO478" s="754"/>
      <c r="AP478" s="754"/>
      <c r="AQ478" s="754"/>
      <c r="AR478" s="754"/>
      <c r="AS478" s="754"/>
      <c r="AT478" s="754"/>
      <c r="AU478" s="754"/>
      <c r="AV478" s="616"/>
      <c r="AW478" s="616"/>
      <c r="AX478" s="616"/>
      <c r="AY478" s="616"/>
      <c r="AZ478" s="616"/>
    </row>
    <row r="479" spans="3:52" x14ac:dyDescent="0.25">
      <c r="C479" s="824"/>
      <c r="AA479" s="754"/>
      <c r="AB479" s="754"/>
      <c r="AC479" s="754"/>
      <c r="AD479" s="754"/>
      <c r="AE479" s="754"/>
      <c r="AF479" s="754"/>
      <c r="AG479" s="754"/>
      <c r="AH479" s="754"/>
      <c r="AI479" s="754"/>
      <c r="AJ479" s="754"/>
      <c r="AK479" s="754"/>
      <c r="AL479" s="754"/>
      <c r="AM479" s="754"/>
      <c r="AN479" s="754"/>
      <c r="AO479" s="754"/>
      <c r="AP479" s="754"/>
      <c r="AQ479" s="754"/>
      <c r="AR479" s="754"/>
      <c r="AS479" s="754"/>
      <c r="AT479" s="754"/>
      <c r="AU479" s="754"/>
      <c r="AV479" s="616"/>
      <c r="AW479" s="616"/>
      <c r="AX479" s="616"/>
      <c r="AY479" s="616"/>
      <c r="AZ479" s="616"/>
    </row>
    <row r="480" spans="3:52" x14ac:dyDescent="0.25">
      <c r="C480" s="824"/>
      <c r="AA480" s="754"/>
      <c r="AB480" s="754"/>
      <c r="AC480" s="754"/>
      <c r="AD480" s="754"/>
      <c r="AE480" s="754"/>
      <c r="AF480" s="754"/>
      <c r="AG480" s="754"/>
      <c r="AH480" s="754"/>
      <c r="AI480" s="754"/>
      <c r="AJ480" s="754"/>
      <c r="AK480" s="754"/>
      <c r="AL480" s="754"/>
      <c r="AM480" s="754"/>
      <c r="AN480" s="754"/>
      <c r="AO480" s="754"/>
      <c r="AP480" s="754"/>
      <c r="AQ480" s="754"/>
      <c r="AR480" s="754"/>
      <c r="AS480" s="754"/>
      <c r="AT480" s="754"/>
      <c r="AU480" s="754"/>
      <c r="AV480" s="616"/>
      <c r="AW480" s="616"/>
      <c r="AX480" s="616"/>
      <c r="AY480" s="616"/>
      <c r="AZ480" s="616"/>
    </row>
    <row r="481" spans="3:52" x14ac:dyDescent="0.25">
      <c r="C481" s="824"/>
      <c r="AA481" s="754"/>
      <c r="AB481" s="754"/>
      <c r="AC481" s="754"/>
      <c r="AD481" s="754"/>
      <c r="AE481" s="754"/>
      <c r="AF481" s="754"/>
      <c r="AG481" s="754"/>
      <c r="AH481" s="754"/>
      <c r="AI481" s="754"/>
      <c r="AJ481" s="754"/>
      <c r="AK481" s="754"/>
      <c r="AL481" s="754"/>
      <c r="AM481" s="754"/>
      <c r="AN481" s="754"/>
      <c r="AO481" s="754"/>
      <c r="AP481" s="754"/>
      <c r="AQ481" s="754"/>
      <c r="AR481" s="754"/>
      <c r="AS481" s="754"/>
      <c r="AT481" s="754"/>
      <c r="AU481" s="754"/>
      <c r="AV481" s="616"/>
      <c r="AW481" s="616"/>
      <c r="AX481" s="616"/>
      <c r="AY481" s="616"/>
      <c r="AZ481" s="616"/>
    </row>
    <row r="482" spans="3:52" x14ac:dyDescent="0.25">
      <c r="C482" s="824"/>
      <c r="AA482" s="754"/>
      <c r="AB482" s="754"/>
      <c r="AC482" s="754"/>
      <c r="AD482" s="754"/>
      <c r="AE482" s="754"/>
      <c r="AF482" s="754"/>
      <c r="AG482" s="754"/>
      <c r="AH482" s="754"/>
      <c r="AI482" s="754"/>
      <c r="AJ482" s="754"/>
      <c r="AK482" s="754"/>
      <c r="AL482" s="754"/>
      <c r="AM482" s="754"/>
      <c r="AN482" s="754"/>
      <c r="AO482" s="754"/>
      <c r="AP482" s="754"/>
      <c r="AQ482" s="754"/>
      <c r="AR482" s="754"/>
      <c r="AS482" s="754"/>
      <c r="AT482" s="754"/>
      <c r="AU482" s="754"/>
      <c r="AV482" s="616"/>
      <c r="AW482" s="616"/>
      <c r="AX482" s="616"/>
      <c r="AY482" s="616"/>
      <c r="AZ482" s="616"/>
    </row>
    <row r="483" spans="3:52" x14ac:dyDescent="0.25">
      <c r="C483" s="824"/>
      <c r="AA483" s="754"/>
      <c r="AB483" s="754"/>
      <c r="AC483" s="754"/>
      <c r="AD483" s="754"/>
      <c r="AE483" s="754"/>
      <c r="AF483" s="754"/>
      <c r="AG483" s="754"/>
      <c r="AH483" s="754"/>
      <c r="AI483" s="754"/>
      <c r="AJ483" s="754"/>
      <c r="AK483" s="754"/>
      <c r="AL483" s="754"/>
      <c r="AM483" s="754"/>
      <c r="AN483" s="754"/>
      <c r="AO483" s="754"/>
      <c r="AP483" s="754"/>
      <c r="AQ483" s="754"/>
      <c r="AR483" s="754"/>
      <c r="AS483" s="754"/>
      <c r="AT483" s="754"/>
      <c r="AU483" s="754"/>
      <c r="AV483" s="616"/>
      <c r="AW483" s="616"/>
      <c r="AX483" s="616"/>
      <c r="AY483" s="616"/>
      <c r="AZ483" s="616"/>
    </row>
    <row r="484" spans="3:52" x14ac:dyDescent="0.25">
      <c r="C484" s="824"/>
      <c r="AA484" s="754"/>
      <c r="AB484" s="754"/>
      <c r="AC484" s="754"/>
      <c r="AD484" s="754"/>
      <c r="AE484" s="754"/>
      <c r="AF484" s="754"/>
      <c r="AG484" s="754"/>
      <c r="AH484" s="754"/>
      <c r="AI484" s="754"/>
      <c r="AJ484" s="754"/>
      <c r="AK484" s="754"/>
      <c r="AL484" s="754"/>
      <c r="AM484" s="754"/>
      <c r="AN484" s="754"/>
      <c r="AO484" s="754"/>
      <c r="AP484" s="754"/>
      <c r="AQ484" s="754"/>
      <c r="AR484" s="754"/>
      <c r="AS484" s="754"/>
      <c r="AT484" s="754"/>
      <c r="AU484" s="754"/>
      <c r="AV484" s="616"/>
      <c r="AW484" s="616"/>
      <c r="AX484" s="616"/>
      <c r="AY484" s="616"/>
      <c r="AZ484" s="616"/>
    </row>
    <row r="485" spans="3:52" x14ac:dyDescent="0.25">
      <c r="C485" s="824"/>
      <c r="AA485" s="754"/>
      <c r="AB485" s="754"/>
      <c r="AC485" s="754"/>
      <c r="AD485" s="754"/>
      <c r="AE485" s="754"/>
      <c r="AF485" s="754"/>
      <c r="AG485" s="754"/>
      <c r="AH485" s="754"/>
      <c r="AI485" s="754"/>
      <c r="AJ485" s="754"/>
      <c r="AK485" s="754"/>
      <c r="AL485" s="754"/>
      <c r="AM485" s="754"/>
      <c r="AN485" s="754"/>
      <c r="AO485" s="754"/>
      <c r="AP485" s="754"/>
      <c r="AQ485" s="754"/>
      <c r="AR485" s="754"/>
      <c r="AS485" s="754"/>
      <c r="AT485" s="754"/>
      <c r="AU485" s="754"/>
      <c r="AV485" s="616"/>
      <c r="AW485" s="616"/>
      <c r="AX485" s="616"/>
      <c r="AY485" s="616"/>
      <c r="AZ485" s="616"/>
    </row>
    <row r="486" spans="3:52" x14ac:dyDescent="0.25">
      <c r="C486" s="824"/>
      <c r="AA486" s="754"/>
      <c r="AB486" s="754"/>
      <c r="AC486" s="754"/>
      <c r="AD486" s="754"/>
      <c r="AE486" s="754"/>
      <c r="AF486" s="754"/>
      <c r="AG486" s="754"/>
      <c r="AH486" s="754"/>
      <c r="AI486" s="754"/>
      <c r="AJ486" s="754"/>
      <c r="AK486" s="754"/>
      <c r="AL486" s="754"/>
      <c r="AM486" s="754"/>
      <c r="AN486" s="754"/>
      <c r="AO486" s="754"/>
      <c r="AP486" s="754"/>
      <c r="AQ486" s="754"/>
      <c r="AR486" s="754"/>
      <c r="AS486" s="754"/>
      <c r="AT486" s="754"/>
      <c r="AU486" s="754"/>
      <c r="AV486" s="616"/>
      <c r="AW486" s="616"/>
      <c r="AX486" s="616"/>
      <c r="AY486" s="616"/>
      <c r="AZ486" s="616"/>
    </row>
    <row r="487" spans="3:52" x14ac:dyDescent="0.25">
      <c r="C487" s="824"/>
      <c r="AA487" s="754"/>
      <c r="AB487" s="754"/>
      <c r="AC487" s="754"/>
      <c r="AD487" s="754"/>
      <c r="AE487" s="754"/>
      <c r="AF487" s="754"/>
      <c r="AG487" s="754"/>
      <c r="AH487" s="754"/>
      <c r="AI487" s="754"/>
      <c r="AJ487" s="754"/>
      <c r="AK487" s="754"/>
      <c r="AL487" s="754"/>
      <c r="AM487" s="754"/>
      <c r="AN487" s="754"/>
      <c r="AO487" s="754"/>
      <c r="AP487" s="754"/>
      <c r="AQ487" s="754"/>
      <c r="AR487" s="754"/>
      <c r="AS487" s="754"/>
      <c r="AT487" s="754"/>
      <c r="AU487" s="754"/>
      <c r="AV487" s="616"/>
      <c r="AW487" s="616"/>
      <c r="AX487" s="616"/>
      <c r="AY487" s="616"/>
      <c r="AZ487" s="616"/>
    </row>
    <row r="488" spans="3:52" x14ac:dyDescent="0.25">
      <c r="C488" s="824"/>
      <c r="AA488" s="754"/>
      <c r="AB488" s="754"/>
      <c r="AC488" s="754"/>
      <c r="AD488" s="754"/>
      <c r="AE488" s="754"/>
      <c r="AF488" s="754"/>
      <c r="AG488" s="754"/>
      <c r="AH488" s="754"/>
      <c r="AI488" s="754"/>
      <c r="AJ488" s="754"/>
      <c r="AK488" s="754"/>
      <c r="AL488" s="754"/>
      <c r="AM488" s="754"/>
      <c r="AN488" s="754"/>
      <c r="AO488" s="754"/>
      <c r="AP488" s="754"/>
      <c r="AQ488" s="754"/>
      <c r="AR488" s="754"/>
      <c r="AS488" s="754"/>
      <c r="AT488" s="754"/>
      <c r="AU488" s="754"/>
      <c r="AV488" s="616"/>
      <c r="AW488" s="616"/>
      <c r="AX488" s="616"/>
      <c r="AY488" s="616"/>
      <c r="AZ488" s="616"/>
    </row>
    <row r="489" spans="3:52" x14ac:dyDescent="0.25">
      <c r="C489" s="824"/>
      <c r="AA489" s="754"/>
      <c r="AB489" s="754"/>
      <c r="AC489" s="754"/>
      <c r="AD489" s="754"/>
      <c r="AE489" s="754"/>
      <c r="AF489" s="754"/>
      <c r="AG489" s="754"/>
      <c r="AH489" s="754"/>
      <c r="AI489" s="754"/>
      <c r="AJ489" s="754"/>
      <c r="AK489" s="754"/>
      <c r="AL489" s="754"/>
      <c r="AM489" s="754"/>
      <c r="AN489" s="754"/>
      <c r="AO489" s="754"/>
      <c r="AP489" s="754"/>
      <c r="AQ489" s="754"/>
      <c r="AR489" s="754"/>
      <c r="AS489" s="754"/>
      <c r="AT489" s="754"/>
      <c r="AU489" s="754"/>
      <c r="AV489" s="616"/>
      <c r="AW489" s="616"/>
      <c r="AX489" s="616"/>
      <c r="AY489" s="616"/>
      <c r="AZ489" s="616"/>
    </row>
    <row r="490" spans="3:52" x14ac:dyDescent="0.25">
      <c r="C490" s="824"/>
      <c r="AA490" s="754"/>
      <c r="AB490" s="754"/>
      <c r="AC490" s="754"/>
      <c r="AD490" s="754"/>
      <c r="AE490" s="754"/>
      <c r="AF490" s="754"/>
      <c r="AG490" s="754"/>
      <c r="AH490" s="754"/>
      <c r="AI490" s="754"/>
      <c r="AJ490" s="754"/>
      <c r="AK490" s="754"/>
      <c r="AL490" s="754"/>
      <c r="AM490" s="754"/>
      <c r="AN490" s="754"/>
      <c r="AO490" s="754"/>
      <c r="AP490" s="754"/>
      <c r="AQ490" s="754"/>
      <c r="AR490" s="754"/>
      <c r="AS490" s="754"/>
      <c r="AT490" s="754"/>
      <c r="AU490" s="754"/>
      <c r="AV490" s="616"/>
      <c r="AW490" s="616"/>
      <c r="AX490" s="616"/>
      <c r="AY490" s="616"/>
      <c r="AZ490" s="616"/>
    </row>
    <row r="491" spans="3:52" x14ac:dyDescent="0.25">
      <c r="C491" s="824"/>
      <c r="AA491" s="754"/>
      <c r="AB491" s="754"/>
      <c r="AC491" s="754"/>
      <c r="AD491" s="754"/>
      <c r="AE491" s="754"/>
      <c r="AF491" s="754"/>
      <c r="AG491" s="754"/>
      <c r="AH491" s="754"/>
      <c r="AI491" s="754"/>
      <c r="AJ491" s="754"/>
      <c r="AK491" s="754"/>
      <c r="AL491" s="754"/>
      <c r="AM491" s="754"/>
      <c r="AN491" s="754"/>
      <c r="AO491" s="754"/>
      <c r="AP491" s="754"/>
      <c r="AQ491" s="754"/>
      <c r="AR491" s="754"/>
      <c r="AS491" s="754"/>
      <c r="AT491" s="754"/>
      <c r="AU491" s="754"/>
      <c r="AV491" s="616"/>
      <c r="AW491" s="616"/>
      <c r="AX491" s="616"/>
      <c r="AY491" s="616"/>
      <c r="AZ491" s="616"/>
    </row>
    <row r="492" spans="3:52" x14ac:dyDescent="0.25">
      <c r="C492" s="824"/>
      <c r="AA492" s="754"/>
      <c r="AB492" s="754"/>
      <c r="AC492" s="754"/>
      <c r="AD492" s="754"/>
      <c r="AE492" s="754"/>
      <c r="AF492" s="754"/>
      <c r="AG492" s="754"/>
      <c r="AH492" s="754"/>
      <c r="AI492" s="754"/>
      <c r="AJ492" s="754"/>
      <c r="AK492" s="754"/>
      <c r="AL492" s="754"/>
      <c r="AM492" s="754"/>
      <c r="AN492" s="754"/>
      <c r="AO492" s="754"/>
      <c r="AP492" s="754"/>
      <c r="AQ492" s="754"/>
      <c r="AR492" s="754"/>
      <c r="AS492" s="754"/>
      <c r="AT492" s="754"/>
      <c r="AU492" s="754"/>
      <c r="AV492" s="616"/>
      <c r="AW492" s="616"/>
      <c r="AX492" s="616"/>
      <c r="AY492" s="616"/>
      <c r="AZ492" s="616"/>
    </row>
    <row r="493" spans="3:52" x14ac:dyDescent="0.25">
      <c r="C493" s="824"/>
      <c r="AA493" s="754"/>
      <c r="AB493" s="754"/>
      <c r="AC493" s="754"/>
      <c r="AD493" s="754"/>
      <c r="AE493" s="754"/>
      <c r="AF493" s="754"/>
      <c r="AG493" s="754"/>
      <c r="AH493" s="754"/>
      <c r="AI493" s="754"/>
      <c r="AJ493" s="754"/>
      <c r="AK493" s="754"/>
      <c r="AL493" s="754"/>
      <c r="AM493" s="754"/>
      <c r="AN493" s="754"/>
      <c r="AO493" s="754"/>
      <c r="AP493" s="754"/>
      <c r="AQ493" s="754"/>
      <c r="AR493" s="754"/>
      <c r="AS493" s="754"/>
      <c r="AT493" s="754"/>
      <c r="AU493" s="754"/>
      <c r="AV493" s="616"/>
      <c r="AW493" s="616"/>
      <c r="AX493" s="616"/>
      <c r="AY493" s="616"/>
      <c r="AZ493" s="616"/>
    </row>
    <row r="494" spans="3:52" x14ac:dyDescent="0.25">
      <c r="C494" s="824"/>
      <c r="AA494" s="754"/>
      <c r="AB494" s="754"/>
      <c r="AC494" s="754"/>
      <c r="AD494" s="754"/>
      <c r="AE494" s="754"/>
      <c r="AF494" s="754"/>
      <c r="AG494" s="754"/>
      <c r="AH494" s="754"/>
      <c r="AI494" s="754"/>
      <c r="AJ494" s="754"/>
      <c r="AK494" s="754"/>
      <c r="AL494" s="754"/>
      <c r="AM494" s="754"/>
      <c r="AN494" s="754"/>
      <c r="AO494" s="754"/>
      <c r="AP494" s="754"/>
      <c r="AQ494" s="754"/>
      <c r="AR494" s="754"/>
      <c r="AS494" s="754"/>
      <c r="AT494" s="754"/>
      <c r="AU494" s="754"/>
      <c r="AV494" s="616"/>
      <c r="AW494" s="616"/>
      <c r="AX494" s="616"/>
      <c r="AY494" s="616"/>
      <c r="AZ494" s="616"/>
    </row>
    <row r="495" spans="3:52" x14ac:dyDescent="0.25">
      <c r="C495" s="824"/>
      <c r="AA495" s="754"/>
      <c r="AB495" s="754"/>
      <c r="AC495" s="754"/>
      <c r="AD495" s="754"/>
      <c r="AE495" s="754"/>
      <c r="AF495" s="754"/>
      <c r="AG495" s="754"/>
      <c r="AH495" s="754"/>
      <c r="AI495" s="754"/>
      <c r="AJ495" s="754"/>
      <c r="AK495" s="754"/>
      <c r="AL495" s="754"/>
      <c r="AM495" s="754"/>
      <c r="AN495" s="754"/>
      <c r="AO495" s="754"/>
      <c r="AP495" s="754"/>
      <c r="AQ495" s="754"/>
      <c r="AR495" s="754"/>
      <c r="AS495" s="754"/>
      <c r="AT495" s="754"/>
      <c r="AU495" s="754"/>
      <c r="AV495" s="616"/>
      <c r="AW495" s="616"/>
      <c r="AX495" s="616"/>
      <c r="AY495" s="616"/>
      <c r="AZ495" s="616"/>
    </row>
    <row r="496" spans="3:52" x14ac:dyDescent="0.25">
      <c r="C496" s="824"/>
      <c r="AA496" s="754"/>
      <c r="AB496" s="754"/>
      <c r="AC496" s="754"/>
      <c r="AD496" s="754"/>
      <c r="AE496" s="754"/>
      <c r="AF496" s="754"/>
      <c r="AG496" s="754"/>
      <c r="AH496" s="754"/>
      <c r="AI496" s="754"/>
      <c r="AJ496" s="754"/>
      <c r="AK496" s="754"/>
      <c r="AL496" s="754"/>
      <c r="AM496" s="754"/>
      <c r="AN496" s="754"/>
      <c r="AO496" s="754"/>
      <c r="AP496" s="754"/>
      <c r="AQ496" s="754"/>
      <c r="AR496" s="754"/>
      <c r="AS496" s="754"/>
      <c r="AT496" s="754"/>
      <c r="AU496" s="754"/>
      <c r="AV496" s="616"/>
      <c r="AW496" s="616"/>
      <c r="AX496" s="616"/>
      <c r="AY496" s="616"/>
      <c r="AZ496" s="616"/>
    </row>
    <row r="497" spans="3:52" x14ac:dyDescent="0.25">
      <c r="C497" s="824"/>
      <c r="AA497" s="754"/>
      <c r="AB497" s="754"/>
      <c r="AC497" s="754"/>
      <c r="AD497" s="754"/>
      <c r="AE497" s="754"/>
      <c r="AF497" s="754"/>
      <c r="AG497" s="754"/>
      <c r="AH497" s="754"/>
      <c r="AI497" s="754"/>
      <c r="AJ497" s="754"/>
      <c r="AK497" s="754"/>
      <c r="AL497" s="754"/>
      <c r="AM497" s="754"/>
      <c r="AN497" s="754"/>
      <c r="AO497" s="754"/>
      <c r="AP497" s="754"/>
      <c r="AQ497" s="754"/>
      <c r="AR497" s="754"/>
      <c r="AS497" s="754"/>
      <c r="AT497" s="754"/>
      <c r="AU497" s="754"/>
      <c r="AV497" s="616"/>
      <c r="AW497" s="616"/>
      <c r="AX497" s="616"/>
      <c r="AY497" s="616"/>
      <c r="AZ497" s="616"/>
    </row>
    <row r="498" spans="3:52" x14ac:dyDescent="0.25">
      <c r="C498" s="824"/>
      <c r="AA498" s="754"/>
      <c r="AB498" s="754"/>
      <c r="AC498" s="754"/>
      <c r="AD498" s="754"/>
      <c r="AE498" s="754"/>
      <c r="AF498" s="754"/>
      <c r="AG498" s="754"/>
      <c r="AH498" s="754"/>
      <c r="AI498" s="754"/>
      <c r="AJ498" s="754"/>
      <c r="AK498" s="754"/>
      <c r="AL498" s="754"/>
      <c r="AM498" s="754"/>
      <c r="AN498" s="754"/>
      <c r="AO498" s="754"/>
      <c r="AP498" s="754"/>
      <c r="AQ498" s="754"/>
      <c r="AR498" s="754"/>
      <c r="AS498" s="754"/>
      <c r="AT498" s="754"/>
      <c r="AU498" s="754"/>
      <c r="AV498" s="616"/>
      <c r="AW498" s="616"/>
      <c r="AX498" s="616"/>
      <c r="AY498" s="616"/>
      <c r="AZ498" s="616"/>
    </row>
    <row r="499" spans="3:52" x14ac:dyDescent="0.25">
      <c r="C499" s="824"/>
      <c r="AA499" s="754"/>
      <c r="AB499" s="754"/>
      <c r="AC499" s="754"/>
      <c r="AD499" s="754"/>
      <c r="AE499" s="754"/>
      <c r="AF499" s="754"/>
      <c r="AG499" s="754"/>
      <c r="AH499" s="754"/>
      <c r="AI499" s="754"/>
      <c r="AJ499" s="754"/>
      <c r="AK499" s="754"/>
      <c r="AL499" s="754"/>
      <c r="AM499" s="754"/>
      <c r="AN499" s="754"/>
      <c r="AO499" s="754"/>
      <c r="AP499" s="754"/>
      <c r="AQ499" s="754"/>
      <c r="AR499" s="754"/>
      <c r="AS499" s="754"/>
      <c r="AT499" s="754"/>
      <c r="AU499" s="754"/>
      <c r="AV499" s="616"/>
      <c r="AW499" s="616"/>
      <c r="AX499" s="616"/>
      <c r="AY499" s="616"/>
      <c r="AZ499" s="616"/>
    </row>
    <row r="500" spans="3:52" x14ac:dyDescent="0.25">
      <c r="C500" s="824"/>
      <c r="AA500" s="754"/>
      <c r="AB500" s="754"/>
      <c r="AC500" s="754"/>
      <c r="AD500" s="754"/>
      <c r="AE500" s="754"/>
      <c r="AF500" s="754"/>
      <c r="AG500" s="754"/>
      <c r="AH500" s="754"/>
      <c r="AI500" s="754"/>
      <c r="AJ500" s="754"/>
      <c r="AK500" s="754"/>
      <c r="AL500" s="754"/>
      <c r="AM500" s="754"/>
      <c r="AN500" s="754"/>
      <c r="AO500" s="754"/>
      <c r="AP500" s="754"/>
      <c r="AQ500" s="754"/>
      <c r="AR500" s="754"/>
      <c r="AS500" s="754"/>
      <c r="AT500" s="754"/>
      <c r="AU500" s="754"/>
      <c r="AV500" s="616"/>
      <c r="AW500" s="616"/>
      <c r="AX500" s="616"/>
      <c r="AY500" s="616"/>
      <c r="AZ500" s="616"/>
    </row>
    <row r="501" spans="3:52" x14ac:dyDescent="0.25">
      <c r="C501" s="824"/>
    </row>
    <row r="502" spans="3:52" x14ac:dyDescent="0.25">
      <c r="C502" s="824"/>
    </row>
    <row r="503" spans="3:52" x14ac:dyDescent="0.25">
      <c r="C503" s="824"/>
    </row>
    <row r="504" spans="3:52" x14ac:dyDescent="0.25">
      <c r="C504" s="824"/>
    </row>
    <row r="505" spans="3:52" x14ac:dyDescent="0.25">
      <c r="C505" s="824"/>
    </row>
    <row r="506" spans="3:52" x14ac:dyDescent="0.25">
      <c r="C506" s="824"/>
    </row>
    <row r="507" spans="3:52" x14ac:dyDescent="0.25">
      <c r="C507" s="824"/>
    </row>
    <row r="508" spans="3:52" x14ac:dyDescent="0.25">
      <c r="C508" s="824"/>
    </row>
    <row r="509" spans="3:52" x14ac:dyDescent="0.25">
      <c r="C509" s="824"/>
    </row>
    <row r="510" spans="3:52" x14ac:dyDescent="0.25">
      <c r="C510" s="824"/>
    </row>
    <row r="511" spans="3:52" x14ac:dyDescent="0.25">
      <c r="C511" s="824"/>
    </row>
    <row r="512" spans="3:52" x14ac:dyDescent="0.25">
      <c r="C512" s="824"/>
    </row>
    <row r="513" spans="3:3" x14ac:dyDescent="0.25">
      <c r="C513" s="824"/>
    </row>
    <row r="514" spans="3:3" x14ac:dyDescent="0.25">
      <c r="C514" s="824"/>
    </row>
    <row r="515" spans="3:3" x14ac:dyDescent="0.25">
      <c r="C515" s="824"/>
    </row>
    <row r="516" spans="3:3" x14ac:dyDescent="0.25">
      <c r="C516" s="824"/>
    </row>
    <row r="517" spans="3:3" x14ac:dyDescent="0.25">
      <c r="C517" s="824"/>
    </row>
    <row r="518" spans="3:3" x14ac:dyDescent="0.25">
      <c r="C518" s="824"/>
    </row>
    <row r="519" spans="3:3" x14ac:dyDescent="0.25">
      <c r="C519" s="824"/>
    </row>
    <row r="520" spans="3:3" x14ac:dyDescent="0.25">
      <c r="C520" s="824"/>
    </row>
    <row r="521" spans="3:3" x14ac:dyDescent="0.25">
      <c r="C521" s="824"/>
    </row>
    <row r="522" spans="3:3" x14ac:dyDescent="0.25">
      <c r="C522" s="824"/>
    </row>
    <row r="523" spans="3:3" x14ac:dyDescent="0.25">
      <c r="C523" s="824"/>
    </row>
    <row r="524" spans="3:3" x14ac:dyDescent="0.25">
      <c r="C524" s="824"/>
    </row>
    <row r="525" spans="3:3" x14ac:dyDescent="0.25">
      <c r="C525" s="824"/>
    </row>
    <row r="526" spans="3:3" x14ac:dyDescent="0.25">
      <c r="C526" s="824"/>
    </row>
    <row r="527" spans="3:3" x14ac:dyDescent="0.25">
      <c r="C527" s="824"/>
    </row>
    <row r="528" spans="3:3" x14ac:dyDescent="0.25">
      <c r="C528" s="824"/>
    </row>
    <row r="529" spans="3:3" x14ac:dyDescent="0.25">
      <c r="C529" s="824"/>
    </row>
    <row r="530" spans="3:3" x14ac:dyDescent="0.25">
      <c r="C530" s="824"/>
    </row>
    <row r="531" spans="3:3" x14ac:dyDescent="0.25">
      <c r="C531" s="824"/>
    </row>
    <row r="532" spans="3:3" x14ac:dyDescent="0.25">
      <c r="C532" s="824"/>
    </row>
    <row r="533" spans="3:3" x14ac:dyDescent="0.25">
      <c r="C533" s="824"/>
    </row>
    <row r="534" spans="3:3" x14ac:dyDescent="0.25">
      <c r="C534" s="824"/>
    </row>
    <row r="535" spans="3:3" x14ac:dyDescent="0.25">
      <c r="C535" s="824"/>
    </row>
    <row r="536" spans="3:3" x14ac:dyDescent="0.25">
      <c r="C536" s="824"/>
    </row>
    <row r="537" spans="3:3" x14ac:dyDescent="0.25">
      <c r="C537" s="824"/>
    </row>
    <row r="538" spans="3:3" x14ac:dyDescent="0.25">
      <c r="C538" s="824"/>
    </row>
    <row r="539" spans="3:3" x14ac:dyDescent="0.25">
      <c r="C539" s="824"/>
    </row>
    <row r="540" spans="3:3" x14ac:dyDescent="0.25">
      <c r="C540" s="824"/>
    </row>
    <row r="541" spans="3:3" x14ac:dyDescent="0.25">
      <c r="C541" s="824"/>
    </row>
    <row r="542" spans="3:3" x14ac:dyDescent="0.25">
      <c r="C542" s="824"/>
    </row>
    <row r="543" spans="3:3" x14ac:dyDescent="0.25">
      <c r="C543" s="824"/>
    </row>
    <row r="544" spans="3:3" x14ac:dyDescent="0.25">
      <c r="C544" s="824"/>
    </row>
    <row r="545" spans="3:3" x14ac:dyDescent="0.25">
      <c r="C545" s="824"/>
    </row>
    <row r="546" spans="3:3" x14ac:dyDescent="0.25">
      <c r="C546" s="824"/>
    </row>
    <row r="547" spans="3:3" x14ac:dyDescent="0.25">
      <c r="C547" s="824"/>
    </row>
    <row r="548" spans="3:3" x14ac:dyDescent="0.25">
      <c r="C548" s="824"/>
    </row>
    <row r="549" spans="3:3" x14ac:dyDescent="0.25">
      <c r="C549" s="824"/>
    </row>
    <row r="550" spans="3:3" x14ac:dyDescent="0.25">
      <c r="C550" s="824"/>
    </row>
    <row r="551" spans="3:3" x14ac:dyDescent="0.25">
      <c r="C551" s="824"/>
    </row>
    <row r="552" spans="3:3" x14ac:dyDescent="0.25">
      <c r="C552" s="824"/>
    </row>
    <row r="553" spans="3:3" x14ac:dyDescent="0.25">
      <c r="C553" s="824"/>
    </row>
    <row r="554" spans="3:3" x14ac:dyDescent="0.25">
      <c r="C554" s="824"/>
    </row>
    <row r="555" spans="3:3" x14ac:dyDescent="0.25">
      <c r="C555" s="824"/>
    </row>
    <row r="556" spans="3:3" x14ac:dyDescent="0.25">
      <c r="C556" s="824"/>
    </row>
    <row r="557" spans="3:3" x14ac:dyDescent="0.25">
      <c r="C557" s="824"/>
    </row>
    <row r="558" spans="3:3" x14ac:dyDescent="0.25">
      <c r="C558" s="824"/>
    </row>
    <row r="559" spans="3:3" x14ac:dyDescent="0.25">
      <c r="C559" s="824"/>
    </row>
    <row r="560" spans="3:3" x14ac:dyDescent="0.25">
      <c r="C560" s="824"/>
    </row>
    <row r="561" spans="3:3" x14ac:dyDescent="0.25">
      <c r="C561" s="824"/>
    </row>
    <row r="562" spans="3:3" x14ac:dyDescent="0.25">
      <c r="C562" s="824"/>
    </row>
    <row r="563" spans="3:3" x14ac:dyDescent="0.25">
      <c r="C563" s="824"/>
    </row>
    <row r="564" spans="3:3" x14ac:dyDescent="0.25">
      <c r="C564" s="824"/>
    </row>
    <row r="565" spans="3:3" x14ac:dyDescent="0.25">
      <c r="C565" s="824"/>
    </row>
    <row r="566" spans="3:3" x14ac:dyDescent="0.25">
      <c r="C566" s="824"/>
    </row>
    <row r="567" spans="3:3" x14ac:dyDescent="0.25">
      <c r="C567" s="824"/>
    </row>
    <row r="568" spans="3:3" x14ac:dyDescent="0.25">
      <c r="C568" s="824"/>
    </row>
    <row r="569" spans="3:3" x14ac:dyDescent="0.25">
      <c r="C569" s="824"/>
    </row>
    <row r="570" spans="3:3" x14ac:dyDescent="0.25">
      <c r="C570" s="824"/>
    </row>
    <row r="571" spans="3:3" x14ac:dyDescent="0.25">
      <c r="C571" s="824"/>
    </row>
    <row r="572" spans="3:3" x14ac:dyDescent="0.25">
      <c r="C572" s="824"/>
    </row>
    <row r="573" spans="3:3" x14ac:dyDescent="0.25">
      <c r="C573" s="824"/>
    </row>
    <row r="574" spans="3:3" x14ac:dyDescent="0.25">
      <c r="C574" s="824"/>
    </row>
    <row r="575" spans="3:3" x14ac:dyDescent="0.25">
      <c r="C575" s="824"/>
    </row>
    <row r="576" spans="3:3" x14ac:dyDescent="0.25">
      <c r="C576" s="824"/>
    </row>
    <row r="577" spans="3:3" x14ac:dyDescent="0.25">
      <c r="C577" s="824"/>
    </row>
    <row r="578" spans="3:3" x14ac:dyDescent="0.25">
      <c r="C578" s="824"/>
    </row>
    <row r="579" spans="3:3" x14ac:dyDescent="0.25">
      <c r="C579" s="824"/>
    </row>
    <row r="580" spans="3:3" x14ac:dyDescent="0.25">
      <c r="C580" s="824"/>
    </row>
    <row r="581" spans="3:3" x14ac:dyDescent="0.25">
      <c r="C581" s="824"/>
    </row>
    <row r="582" spans="3:3" x14ac:dyDescent="0.25">
      <c r="C582" s="824"/>
    </row>
    <row r="583" spans="3:3" x14ac:dyDescent="0.25">
      <c r="C583" s="824"/>
    </row>
    <row r="584" spans="3:3" x14ac:dyDescent="0.25">
      <c r="C584" s="824"/>
    </row>
    <row r="585" spans="3:3" x14ac:dyDescent="0.25">
      <c r="C585" s="824"/>
    </row>
    <row r="586" spans="3:3" x14ac:dyDescent="0.25">
      <c r="C586" s="824"/>
    </row>
    <row r="587" spans="3:3" x14ac:dyDescent="0.25">
      <c r="C587" s="824"/>
    </row>
    <row r="588" spans="3:3" x14ac:dyDescent="0.25">
      <c r="C588" s="824"/>
    </row>
    <row r="589" spans="3:3" x14ac:dyDescent="0.25">
      <c r="C589" s="824"/>
    </row>
    <row r="590" spans="3:3" x14ac:dyDescent="0.25">
      <c r="C590" s="824"/>
    </row>
    <row r="591" spans="3:3" x14ac:dyDescent="0.25">
      <c r="C591" s="824"/>
    </row>
    <row r="592" spans="3:3" x14ac:dyDescent="0.25">
      <c r="C592" s="824"/>
    </row>
    <row r="593" spans="3:3" x14ac:dyDescent="0.25">
      <c r="C593" s="824"/>
    </row>
    <row r="594" spans="3:3" x14ac:dyDescent="0.25">
      <c r="C594" s="824"/>
    </row>
    <row r="595" spans="3:3" x14ac:dyDescent="0.25">
      <c r="C595" s="824"/>
    </row>
    <row r="596" spans="3:3" x14ac:dyDescent="0.25">
      <c r="C596" s="824"/>
    </row>
    <row r="597" spans="3:3" x14ac:dyDescent="0.25">
      <c r="C597" s="824"/>
    </row>
    <row r="598" spans="3:3" x14ac:dyDescent="0.25">
      <c r="C598" s="824"/>
    </row>
    <row r="599" spans="3:3" x14ac:dyDescent="0.25">
      <c r="C599" s="824"/>
    </row>
    <row r="600" spans="3:3" x14ac:dyDescent="0.25">
      <c r="C600" s="824"/>
    </row>
    <row r="601" spans="3:3" x14ac:dyDescent="0.25">
      <c r="C601" s="824"/>
    </row>
    <row r="602" spans="3:3" x14ac:dyDescent="0.25">
      <c r="C602" s="824"/>
    </row>
    <row r="603" spans="3:3" x14ac:dyDescent="0.25">
      <c r="C603" s="824"/>
    </row>
    <row r="604" spans="3:3" x14ac:dyDescent="0.25">
      <c r="C604" s="824"/>
    </row>
    <row r="605" spans="3:3" x14ac:dyDescent="0.25">
      <c r="C605" s="824"/>
    </row>
    <row r="606" spans="3:3" x14ac:dyDescent="0.25">
      <c r="C606" s="824"/>
    </row>
    <row r="607" spans="3:3" x14ac:dyDescent="0.25">
      <c r="C607" s="824"/>
    </row>
    <row r="608" spans="3:3" x14ac:dyDescent="0.25">
      <c r="C608" s="824"/>
    </row>
    <row r="609" spans="3:3" x14ac:dyDescent="0.25">
      <c r="C609" s="824"/>
    </row>
    <row r="610" spans="3:3" x14ac:dyDescent="0.25">
      <c r="C610" s="824"/>
    </row>
    <row r="611" spans="3:3" x14ac:dyDescent="0.25">
      <c r="C611" s="824"/>
    </row>
    <row r="612" spans="3:3" x14ac:dyDescent="0.25">
      <c r="C612" s="824"/>
    </row>
    <row r="613" spans="3:3" x14ac:dyDescent="0.25">
      <c r="C613" s="824"/>
    </row>
    <row r="614" spans="3:3" x14ac:dyDescent="0.25">
      <c r="C614" s="824"/>
    </row>
    <row r="615" spans="3:3" x14ac:dyDescent="0.25">
      <c r="C615" s="824"/>
    </row>
    <row r="616" spans="3:3" x14ac:dyDescent="0.25">
      <c r="C616" s="824"/>
    </row>
    <row r="617" spans="3:3" x14ac:dyDescent="0.25">
      <c r="C617" s="824"/>
    </row>
    <row r="618" spans="3:3" x14ac:dyDescent="0.25">
      <c r="C618" s="824"/>
    </row>
    <row r="619" spans="3:3" x14ac:dyDescent="0.25">
      <c r="C619" s="824"/>
    </row>
    <row r="620" spans="3:3" x14ac:dyDescent="0.25">
      <c r="C620" s="824"/>
    </row>
    <row r="621" spans="3:3" x14ac:dyDescent="0.25">
      <c r="C621" s="824"/>
    </row>
    <row r="622" spans="3:3" x14ac:dyDescent="0.25">
      <c r="C622" s="824"/>
    </row>
    <row r="623" spans="3:3" x14ac:dyDescent="0.25">
      <c r="C623" s="824"/>
    </row>
    <row r="624" spans="3:3" x14ac:dyDescent="0.25">
      <c r="C624" s="824"/>
    </row>
    <row r="625" spans="3:3" x14ac:dyDescent="0.25">
      <c r="C625" s="824"/>
    </row>
    <row r="626" spans="3:3" x14ac:dyDescent="0.25">
      <c r="C626" s="824"/>
    </row>
    <row r="627" spans="3:3" x14ac:dyDescent="0.25">
      <c r="C627" s="824"/>
    </row>
    <row r="628" spans="3:3" x14ac:dyDescent="0.25">
      <c r="C628" s="824"/>
    </row>
    <row r="629" spans="3:3" x14ac:dyDescent="0.25">
      <c r="C629" s="824"/>
    </row>
    <row r="630" spans="3:3" x14ac:dyDescent="0.25">
      <c r="C630" s="824"/>
    </row>
    <row r="631" spans="3:3" x14ac:dyDescent="0.25">
      <c r="C631" s="824"/>
    </row>
    <row r="632" spans="3:3" x14ac:dyDescent="0.25">
      <c r="C632" s="824"/>
    </row>
    <row r="633" spans="3:3" x14ac:dyDescent="0.25">
      <c r="C633" s="824"/>
    </row>
    <row r="634" spans="3:3" x14ac:dyDescent="0.25">
      <c r="C634" s="824"/>
    </row>
    <row r="635" spans="3:3" x14ac:dyDescent="0.25">
      <c r="C635" s="824"/>
    </row>
    <row r="636" spans="3:3" x14ac:dyDescent="0.25">
      <c r="C636" s="824"/>
    </row>
    <row r="637" spans="3:3" x14ac:dyDescent="0.25">
      <c r="C637" s="824"/>
    </row>
    <row r="638" spans="3:3" x14ac:dyDescent="0.25">
      <c r="C638" s="824"/>
    </row>
    <row r="639" spans="3:3" x14ac:dyDescent="0.25">
      <c r="C639" s="824"/>
    </row>
    <row r="640" spans="3:3" x14ac:dyDescent="0.25">
      <c r="C640" s="824"/>
    </row>
    <row r="641" spans="3:3" x14ac:dyDescent="0.25">
      <c r="C641" s="824"/>
    </row>
    <row r="642" spans="3:3" x14ac:dyDescent="0.25">
      <c r="C642" s="824"/>
    </row>
    <row r="643" spans="3:3" x14ac:dyDescent="0.25">
      <c r="C643" s="824"/>
    </row>
    <row r="644" spans="3:3" x14ac:dyDescent="0.25">
      <c r="C644" s="824"/>
    </row>
    <row r="645" spans="3:3" x14ac:dyDescent="0.25">
      <c r="C645" s="824"/>
    </row>
  </sheetData>
  <mergeCells count="14">
    <mergeCell ref="AX130:AX150"/>
    <mergeCell ref="B167:B169"/>
    <mergeCell ref="B175:B176"/>
    <mergeCell ref="B145:B147"/>
    <mergeCell ref="B148:B150"/>
    <mergeCell ref="B155:B156"/>
    <mergeCell ref="B160:B161"/>
    <mergeCell ref="B110:B144"/>
    <mergeCell ref="AR80:AR169"/>
    <mergeCell ref="B1:I1"/>
    <mergeCell ref="A80:A99"/>
    <mergeCell ref="B80:B109"/>
    <mergeCell ref="B76:Z76"/>
    <mergeCell ref="AX110:AX12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</sheetPr>
  <dimension ref="A1:J8"/>
  <sheetViews>
    <sheetView view="pageBreakPreview" zoomScaleNormal="100" workbookViewId="0">
      <selection activeCell="B1" sqref="B1:F2"/>
    </sheetView>
  </sheetViews>
  <sheetFormatPr defaultRowHeight="12.75" x14ac:dyDescent="0.2"/>
  <cols>
    <col min="1" max="1" width="10.5703125" style="104" customWidth="1"/>
    <col min="2" max="2" width="17.140625" style="105" customWidth="1"/>
    <col min="3" max="4" width="14.5703125" style="105" customWidth="1"/>
    <col min="5" max="5" width="14.85546875" style="105" customWidth="1"/>
    <col min="6" max="6" width="14.140625" style="105" customWidth="1"/>
    <col min="7" max="7" width="18.7109375" style="106" customWidth="1"/>
  </cols>
  <sheetData>
    <row r="1" spans="1:10" ht="30" customHeight="1" x14ac:dyDescent="0.2">
      <c r="A1" s="87"/>
      <c r="B1" s="1090" t="s">
        <v>313</v>
      </c>
      <c r="C1" s="1090"/>
      <c r="D1" s="1090"/>
      <c r="E1" s="1090"/>
      <c r="F1" s="1090"/>
      <c r="G1" s="88"/>
    </row>
    <row r="2" spans="1:10" ht="22.5" customHeight="1" thickBot="1" x14ac:dyDescent="0.25">
      <c r="A2" s="87"/>
      <c r="B2" s="1091"/>
      <c r="C2" s="1091"/>
      <c r="D2" s="1091"/>
      <c r="E2" s="1091"/>
      <c r="F2" s="1091"/>
      <c r="G2" s="88"/>
      <c r="J2">
        <v>1</v>
      </c>
    </row>
    <row r="3" spans="1:10" s="92" customFormat="1" ht="43.5" customHeight="1" x14ac:dyDescent="0.2">
      <c r="A3" s="89" t="s">
        <v>40</v>
      </c>
      <c r="B3" s="1092" t="s">
        <v>41</v>
      </c>
      <c r="C3" s="1093" t="s">
        <v>42</v>
      </c>
      <c r="D3" s="1093"/>
      <c r="E3" s="90" t="s">
        <v>43</v>
      </c>
      <c r="F3" s="90" t="s">
        <v>44</v>
      </c>
      <c r="G3" s="1094" t="s">
        <v>45</v>
      </c>
    </row>
    <row r="4" spans="1:10" s="95" customFormat="1" ht="19.5" customHeight="1" x14ac:dyDescent="0.2">
      <c r="A4" s="93" t="s">
        <v>46</v>
      </c>
      <c r="B4" s="1093"/>
      <c r="C4" s="94"/>
      <c r="D4" s="94"/>
      <c r="E4" s="91"/>
      <c r="F4" s="91"/>
      <c r="G4" s="1095"/>
    </row>
    <row r="5" spans="1:10" s="98" customFormat="1" ht="18.75" customHeight="1" thickBot="1" x14ac:dyDescent="0.25">
      <c r="A5" s="96"/>
      <c r="B5" s="97" t="s">
        <v>47</v>
      </c>
      <c r="C5" s="97" t="s">
        <v>48</v>
      </c>
      <c r="D5" s="97" t="s">
        <v>49</v>
      </c>
      <c r="E5" s="97" t="s">
        <v>49</v>
      </c>
      <c r="F5" s="97" t="s">
        <v>49</v>
      </c>
      <c r="G5" s="97" t="s">
        <v>49</v>
      </c>
    </row>
    <row r="6" spans="1:10" ht="27.75" customHeight="1" thickTop="1" x14ac:dyDescent="0.2">
      <c r="A6" s="99" t="s">
        <v>50</v>
      </c>
      <c r="B6" s="100">
        <v>80</v>
      </c>
      <c r="C6" s="101">
        <v>8.7550000000000008</v>
      </c>
      <c r="D6" s="100">
        <v>87.550000000000011</v>
      </c>
      <c r="E6" s="100">
        <v>280</v>
      </c>
      <c r="F6" s="102">
        <v>447.55</v>
      </c>
      <c r="G6" s="103">
        <f>514.7*$J$2</f>
        <v>514.70000000000005</v>
      </c>
      <c r="H6" t="s">
        <v>51</v>
      </c>
    </row>
    <row r="7" spans="1:10" ht="15.75" x14ac:dyDescent="0.2">
      <c r="B7" s="100">
        <v>80</v>
      </c>
      <c r="C7" s="101">
        <v>8.7550000000000008</v>
      </c>
      <c r="D7" s="100">
        <v>87.550000000000011</v>
      </c>
      <c r="E7" s="100">
        <v>0</v>
      </c>
      <c r="F7" s="102">
        <v>167.55</v>
      </c>
      <c r="G7" s="103">
        <v>192.7</v>
      </c>
      <c r="H7" t="s">
        <v>52</v>
      </c>
    </row>
    <row r="8" spans="1:10" ht="15.75" x14ac:dyDescent="0.2">
      <c r="B8" s="100">
        <v>80</v>
      </c>
      <c r="C8" s="101">
        <v>0</v>
      </c>
      <c r="D8" s="100">
        <v>0</v>
      </c>
      <c r="E8" s="100">
        <v>0</v>
      </c>
      <c r="F8" s="102">
        <v>80</v>
      </c>
      <c r="G8" s="103">
        <v>92</v>
      </c>
      <c r="H8" t="s">
        <v>53</v>
      </c>
    </row>
  </sheetData>
  <mergeCells count="4">
    <mergeCell ref="B1:F2"/>
    <mergeCell ref="B3:B4"/>
    <mergeCell ref="C3:D3"/>
    <mergeCell ref="G3:G4"/>
  </mergeCells>
  <pageMargins left="0.62992125984251968" right="0.74803149606299213" top="0.98425196850393704" bottom="0.98425196850393704" header="0.51181102362204722" footer="0.51181102362204722"/>
  <pageSetup paperSize="9" scale="9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59999389629810485"/>
  </sheetPr>
  <dimension ref="A2:O8"/>
  <sheetViews>
    <sheetView workbookViewId="0">
      <selection activeCell="H17" sqref="H17"/>
    </sheetView>
  </sheetViews>
  <sheetFormatPr defaultRowHeight="12.75" x14ac:dyDescent="0.2"/>
  <cols>
    <col min="1" max="1" width="4.42578125" customWidth="1"/>
    <col min="2" max="2" width="22.42578125" customWidth="1"/>
    <col min="3" max="3" width="22.140625" customWidth="1"/>
  </cols>
  <sheetData>
    <row r="2" spans="1:15" x14ac:dyDescent="0.2">
      <c r="B2" s="602"/>
      <c r="C2" s="602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02"/>
      <c r="O2" s="602"/>
    </row>
    <row r="3" spans="1:15" ht="13.5" thickBot="1" x14ac:dyDescent="0.25">
      <c r="B3" s="602"/>
      <c r="C3" s="650" t="s">
        <v>560</v>
      </c>
      <c r="D3" s="650" t="s">
        <v>129</v>
      </c>
      <c r="E3" s="650" t="s">
        <v>130</v>
      </c>
      <c r="F3" s="650" t="s">
        <v>131</v>
      </c>
      <c r="G3" s="650" t="s">
        <v>132</v>
      </c>
      <c r="H3" s="650" t="s">
        <v>133</v>
      </c>
      <c r="I3" s="650" t="s">
        <v>134</v>
      </c>
      <c r="J3" s="650" t="s">
        <v>135</v>
      </c>
      <c r="K3" s="650" t="s">
        <v>136</v>
      </c>
      <c r="L3" s="650" t="s">
        <v>137</v>
      </c>
      <c r="M3" s="650" t="s">
        <v>138</v>
      </c>
      <c r="N3" s="650" t="s">
        <v>561</v>
      </c>
      <c r="O3" s="651" t="s">
        <v>118</v>
      </c>
    </row>
    <row r="4" spans="1:15" ht="21" customHeight="1" x14ac:dyDescent="0.25">
      <c r="A4" s="132"/>
      <c r="B4" s="1096" t="s">
        <v>564</v>
      </c>
      <c r="C4" s="652" t="s">
        <v>116</v>
      </c>
      <c r="D4" s="653">
        <v>150</v>
      </c>
      <c r="E4" s="653">
        <v>200</v>
      </c>
      <c r="F4" s="653">
        <v>250</v>
      </c>
      <c r="G4" s="653">
        <v>300</v>
      </c>
      <c r="H4" s="653">
        <v>400</v>
      </c>
      <c r="I4" s="653">
        <v>500</v>
      </c>
      <c r="J4" s="653">
        <v>600</v>
      </c>
      <c r="K4" s="653">
        <v>700</v>
      </c>
      <c r="L4" s="653">
        <v>800</v>
      </c>
      <c r="M4" s="653">
        <v>1000</v>
      </c>
      <c r="N4" s="654">
        <v>1400</v>
      </c>
      <c r="O4" s="602"/>
    </row>
    <row r="5" spans="1:15" ht="13.5" thickBot="1" x14ac:dyDescent="0.25">
      <c r="B5" s="1097"/>
      <c r="C5" s="655" t="s">
        <v>117</v>
      </c>
      <c r="D5" s="656">
        <v>165</v>
      </c>
      <c r="E5" s="656">
        <v>195</v>
      </c>
      <c r="F5" s="656">
        <v>255</v>
      </c>
      <c r="G5" s="656">
        <v>300</v>
      </c>
      <c r="H5" s="656">
        <v>435</v>
      </c>
      <c r="I5" s="656">
        <v>580.54500000000007</v>
      </c>
      <c r="J5" s="656">
        <v>767.85</v>
      </c>
      <c r="K5" s="656">
        <v>985.15499999999997</v>
      </c>
      <c r="L5" s="656">
        <v>1181.5700000000002</v>
      </c>
      <c r="M5" s="656">
        <v>1615.75</v>
      </c>
      <c r="N5" s="657">
        <v>2376</v>
      </c>
      <c r="O5" s="602"/>
    </row>
    <row r="6" spans="1:15" ht="18.75" customHeight="1" x14ac:dyDescent="0.25">
      <c r="B6" s="1098" t="s">
        <v>562</v>
      </c>
      <c r="C6" s="652" t="s">
        <v>116</v>
      </c>
      <c r="D6" s="653">
        <v>150</v>
      </c>
      <c r="E6" s="653">
        <v>200</v>
      </c>
      <c r="F6" s="653">
        <v>250</v>
      </c>
      <c r="G6" s="653">
        <v>300</v>
      </c>
      <c r="H6" s="653">
        <v>400</v>
      </c>
      <c r="I6" s="653">
        <v>450</v>
      </c>
      <c r="J6" s="653">
        <v>500</v>
      </c>
      <c r="K6" s="653">
        <v>600</v>
      </c>
      <c r="L6" s="653">
        <v>700</v>
      </c>
      <c r="M6" s="653">
        <v>800</v>
      </c>
      <c r="N6" s="654">
        <v>1000</v>
      </c>
      <c r="O6" s="602"/>
    </row>
    <row r="7" spans="1:15" ht="13.5" thickBot="1" x14ac:dyDescent="0.25">
      <c r="B7" s="1099"/>
      <c r="C7" s="655" t="s">
        <v>117</v>
      </c>
      <c r="D7" s="656"/>
      <c r="E7" s="656">
        <v>1040</v>
      </c>
      <c r="F7" s="658">
        <v>1040</v>
      </c>
      <c r="G7" s="656">
        <v>1040</v>
      </c>
      <c r="H7" s="658">
        <v>1200</v>
      </c>
      <c r="I7" s="655">
        <v>1200</v>
      </c>
      <c r="J7" s="656"/>
      <c r="K7" s="656"/>
      <c r="L7" s="656"/>
      <c r="M7" s="656"/>
      <c r="N7" s="657">
        <v>1615.75</v>
      </c>
      <c r="O7" s="602"/>
    </row>
    <row r="8" spans="1:15" ht="13.5" thickBot="1" x14ac:dyDescent="0.25">
      <c r="B8" s="1100" t="s">
        <v>565</v>
      </c>
      <c r="C8" s="1101"/>
      <c r="D8" s="1101"/>
      <c r="E8" s="1101"/>
      <c r="F8" s="1101"/>
      <c r="G8" s="659">
        <v>1630</v>
      </c>
      <c r="H8" s="660" t="s">
        <v>563</v>
      </c>
      <c r="I8" s="661"/>
      <c r="J8" s="661"/>
      <c r="K8" s="661"/>
      <c r="L8" s="661"/>
      <c r="M8" s="661"/>
      <c r="N8" s="662"/>
      <c r="O8" s="602"/>
    </row>
  </sheetData>
  <mergeCells count="3">
    <mergeCell ref="B4:B5"/>
    <mergeCell ref="B6:B7"/>
    <mergeCell ref="B8:F8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59999389629810485"/>
  </sheetPr>
  <dimension ref="B1:G7"/>
  <sheetViews>
    <sheetView workbookViewId="0">
      <selection activeCell="H17" sqref="H17"/>
    </sheetView>
  </sheetViews>
  <sheetFormatPr defaultRowHeight="12.75" x14ac:dyDescent="0.2"/>
  <cols>
    <col min="2" max="2" width="25.42578125" customWidth="1"/>
  </cols>
  <sheetData>
    <row r="1" spans="2:7" x14ac:dyDescent="0.2">
      <c r="G1">
        <v>1</v>
      </c>
    </row>
    <row r="2" spans="2:7" ht="13.5" thickBot="1" x14ac:dyDescent="0.25">
      <c r="C2" s="134" t="s">
        <v>119</v>
      </c>
    </row>
    <row r="3" spans="2:7" ht="13.5" thickBot="1" x14ac:dyDescent="0.25">
      <c r="B3" s="267" t="s">
        <v>164</v>
      </c>
      <c r="C3" s="268" t="s">
        <v>165</v>
      </c>
    </row>
    <row r="4" spans="2:7" x14ac:dyDescent="0.2">
      <c r="B4" s="269" t="s">
        <v>120</v>
      </c>
      <c r="C4" s="270">
        <f>14500*$G$1</f>
        <v>14500</v>
      </c>
    </row>
    <row r="5" spans="2:7" ht="15" x14ac:dyDescent="0.25">
      <c r="B5" s="271" t="s">
        <v>166</v>
      </c>
      <c r="C5" s="272">
        <v>5000</v>
      </c>
    </row>
    <row r="6" spans="2:7" ht="15" x14ac:dyDescent="0.25">
      <c r="B6" s="271" t="s">
        <v>167</v>
      </c>
      <c r="C6" s="272" t="s">
        <v>334</v>
      </c>
    </row>
    <row r="7" spans="2:7" ht="15.75" thickBot="1" x14ac:dyDescent="0.3">
      <c r="B7" s="273" t="s">
        <v>168</v>
      </c>
      <c r="C7" s="274" t="s">
        <v>334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8865F-53C0-4FF1-A24F-8A1405DFC4A8}">
  <sheetPr>
    <tabColor theme="7" tint="0.39997558519241921"/>
  </sheetPr>
  <dimension ref="B2:F16"/>
  <sheetViews>
    <sheetView workbookViewId="0">
      <selection activeCell="K14" sqref="K14"/>
    </sheetView>
  </sheetViews>
  <sheetFormatPr defaultRowHeight="12.75" x14ac:dyDescent="0.2"/>
  <cols>
    <col min="2" max="2" width="27.7109375" customWidth="1"/>
    <col min="3" max="3" width="15" customWidth="1"/>
    <col min="4" max="4" width="20.42578125" customWidth="1"/>
  </cols>
  <sheetData>
    <row r="2" spans="2:6" ht="13.5" thickBot="1" x14ac:dyDescent="0.25"/>
    <row r="3" spans="2:6" ht="20.100000000000001" customHeight="1" thickBot="1" x14ac:dyDescent="0.25">
      <c r="B3" s="549" t="s">
        <v>333</v>
      </c>
      <c r="C3" s="550" t="s">
        <v>331</v>
      </c>
      <c r="D3" s="550" t="s">
        <v>332</v>
      </c>
    </row>
    <row r="4" spans="2:6" ht="20.100000000000001" customHeight="1" x14ac:dyDescent="0.2">
      <c r="B4" s="551" t="s">
        <v>566</v>
      </c>
      <c r="C4" s="1002">
        <f>3.39+1.6</f>
        <v>4.99</v>
      </c>
      <c r="D4" s="664">
        <f>C4*3.6*24*365</f>
        <v>157364.64000000004</v>
      </c>
    </row>
    <row r="5" spans="2:6" ht="20.100000000000001" customHeight="1" x14ac:dyDescent="0.2">
      <c r="B5" s="428"/>
      <c r="C5" s="600"/>
      <c r="D5" s="547"/>
    </row>
    <row r="6" spans="2:6" ht="20.100000000000001" customHeight="1" x14ac:dyDescent="0.2">
      <c r="B6" s="428"/>
      <c r="C6" s="547"/>
      <c r="D6" s="547"/>
    </row>
    <row r="7" spans="2:6" ht="20.100000000000001" customHeight="1" x14ac:dyDescent="0.2">
      <c r="B7" s="428"/>
      <c r="C7" s="547"/>
      <c r="D7" s="665"/>
    </row>
    <row r="8" spans="2:6" ht="20.100000000000001" customHeight="1" x14ac:dyDescent="0.2">
      <c r="B8" s="428"/>
      <c r="C8" s="547"/>
      <c r="D8" s="547"/>
    </row>
    <row r="9" spans="2:6" ht="20.100000000000001" customHeight="1" x14ac:dyDescent="0.2">
      <c r="B9" s="428"/>
      <c r="C9" s="547"/>
      <c r="D9" s="547"/>
    </row>
    <row r="10" spans="2:6" ht="20.100000000000001" customHeight="1" x14ac:dyDescent="0.2">
      <c r="B10" s="428"/>
      <c r="C10" s="547"/>
      <c r="D10" s="547"/>
    </row>
    <row r="11" spans="2:6" ht="20.100000000000001" customHeight="1" thickBot="1" x14ac:dyDescent="0.25">
      <c r="B11" s="433"/>
      <c r="C11" s="548"/>
      <c r="D11" s="548"/>
    </row>
    <row r="12" spans="2:6" ht="20.100000000000001" customHeight="1" thickBot="1" x14ac:dyDescent="0.25">
      <c r="B12" s="432" t="s">
        <v>327</v>
      </c>
      <c r="C12" s="595">
        <f>SUM(C4:C11)</f>
        <v>4.99</v>
      </c>
      <c r="D12" s="596">
        <f>SUM(D4:D7)</f>
        <v>157364.64000000004</v>
      </c>
      <c r="F12" s="668"/>
    </row>
    <row r="13" spans="2:6" ht="20.100000000000001" customHeight="1" thickBot="1" x14ac:dyDescent="0.25">
      <c r="B13" s="432" t="s">
        <v>328</v>
      </c>
      <c r="C13" s="595">
        <f>C12</f>
        <v>4.99</v>
      </c>
      <c r="D13" s="596">
        <f>SUM(D4:D7)</f>
        <v>157364.64000000004</v>
      </c>
    </row>
    <row r="14" spans="2:6" ht="20.100000000000001" customHeight="1" thickBot="1" x14ac:dyDescent="0.25">
      <c r="B14" s="432" t="s">
        <v>329</v>
      </c>
      <c r="C14" s="133"/>
      <c r="D14" s="429"/>
    </row>
    <row r="15" spans="2:6" ht="20.100000000000001" customHeight="1" thickBot="1" x14ac:dyDescent="0.25">
      <c r="B15" s="432" t="s">
        <v>330</v>
      </c>
      <c r="C15" s="430"/>
      <c r="D15" s="431"/>
    </row>
    <row r="16" spans="2:6" x14ac:dyDescent="0.2">
      <c r="B16" s="434" t="s">
        <v>326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17862-297B-4B03-85F1-1399C8AE538D}">
  <sheetPr>
    <tabColor theme="7" tint="0.59999389629810485"/>
  </sheetPr>
  <dimension ref="A1:M19"/>
  <sheetViews>
    <sheetView workbookViewId="0">
      <selection activeCell="B16" sqref="B16"/>
    </sheetView>
  </sheetViews>
  <sheetFormatPr defaultRowHeight="12.75" x14ac:dyDescent="0.2"/>
  <cols>
    <col min="1" max="1" width="18.28515625" customWidth="1"/>
    <col min="2" max="2" width="27" customWidth="1"/>
    <col min="3" max="3" width="20.28515625" style="1" customWidth="1"/>
    <col min="4" max="4" width="19.5703125" customWidth="1"/>
    <col min="257" max="257" width="18.28515625" customWidth="1"/>
    <col min="258" max="258" width="27" customWidth="1"/>
    <col min="259" max="259" width="20.28515625" customWidth="1"/>
    <col min="260" max="260" width="19.5703125" customWidth="1"/>
    <col min="513" max="513" width="18.28515625" customWidth="1"/>
    <col min="514" max="514" width="27" customWidth="1"/>
    <col min="515" max="515" width="20.28515625" customWidth="1"/>
    <col min="516" max="516" width="19.5703125" customWidth="1"/>
    <col min="769" max="769" width="18.28515625" customWidth="1"/>
    <col min="770" max="770" width="27" customWidth="1"/>
    <col min="771" max="771" width="20.28515625" customWidth="1"/>
    <col min="772" max="772" width="19.5703125" customWidth="1"/>
    <col min="1025" max="1025" width="18.28515625" customWidth="1"/>
    <col min="1026" max="1026" width="27" customWidth="1"/>
    <col min="1027" max="1027" width="20.28515625" customWidth="1"/>
    <col min="1028" max="1028" width="19.5703125" customWidth="1"/>
    <col min="1281" max="1281" width="18.28515625" customWidth="1"/>
    <col min="1282" max="1282" width="27" customWidth="1"/>
    <col min="1283" max="1283" width="20.28515625" customWidth="1"/>
    <col min="1284" max="1284" width="19.5703125" customWidth="1"/>
    <col min="1537" max="1537" width="18.28515625" customWidth="1"/>
    <col min="1538" max="1538" width="27" customWidth="1"/>
    <col min="1539" max="1539" width="20.28515625" customWidth="1"/>
    <col min="1540" max="1540" width="19.5703125" customWidth="1"/>
    <col min="1793" max="1793" width="18.28515625" customWidth="1"/>
    <col min="1794" max="1794" width="27" customWidth="1"/>
    <col min="1795" max="1795" width="20.28515625" customWidth="1"/>
    <col min="1796" max="1796" width="19.5703125" customWidth="1"/>
    <col min="2049" max="2049" width="18.28515625" customWidth="1"/>
    <col min="2050" max="2050" width="27" customWidth="1"/>
    <col min="2051" max="2051" width="20.28515625" customWidth="1"/>
    <col min="2052" max="2052" width="19.5703125" customWidth="1"/>
    <col min="2305" max="2305" width="18.28515625" customWidth="1"/>
    <col min="2306" max="2306" width="27" customWidth="1"/>
    <col min="2307" max="2307" width="20.28515625" customWidth="1"/>
    <col min="2308" max="2308" width="19.5703125" customWidth="1"/>
    <col min="2561" max="2561" width="18.28515625" customWidth="1"/>
    <col min="2562" max="2562" width="27" customWidth="1"/>
    <col min="2563" max="2563" width="20.28515625" customWidth="1"/>
    <col min="2564" max="2564" width="19.5703125" customWidth="1"/>
    <col min="2817" max="2817" width="18.28515625" customWidth="1"/>
    <col min="2818" max="2818" width="27" customWidth="1"/>
    <col min="2819" max="2819" width="20.28515625" customWidth="1"/>
    <col min="2820" max="2820" width="19.5703125" customWidth="1"/>
    <col min="3073" max="3073" width="18.28515625" customWidth="1"/>
    <col min="3074" max="3074" width="27" customWidth="1"/>
    <col min="3075" max="3075" width="20.28515625" customWidth="1"/>
    <col min="3076" max="3076" width="19.5703125" customWidth="1"/>
    <col min="3329" max="3329" width="18.28515625" customWidth="1"/>
    <col min="3330" max="3330" width="27" customWidth="1"/>
    <col min="3331" max="3331" width="20.28515625" customWidth="1"/>
    <col min="3332" max="3332" width="19.5703125" customWidth="1"/>
    <col min="3585" max="3585" width="18.28515625" customWidth="1"/>
    <col min="3586" max="3586" width="27" customWidth="1"/>
    <col min="3587" max="3587" width="20.28515625" customWidth="1"/>
    <col min="3588" max="3588" width="19.5703125" customWidth="1"/>
    <col min="3841" max="3841" width="18.28515625" customWidth="1"/>
    <col min="3842" max="3842" width="27" customWidth="1"/>
    <col min="3843" max="3843" width="20.28515625" customWidth="1"/>
    <col min="3844" max="3844" width="19.5703125" customWidth="1"/>
    <col min="4097" max="4097" width="18.28515625" customWidth="1"/>
    <col min="4098" max="4098" width="27" customWidth="1"/>
    <col min="4099" max="4099" width="20.28515625" customWidth="1"/>
    <col min="4100" max="4100" width="19.5703125" customWidth="1"/>
    <col min="4353" max="4353" width="18.28515625" customWidth="1"/>
    <col min="4354" max="4354" width="27" customWidth="1"/>
    <col min="4355" max="4355" width="20.28515625" customWidth="1"/>
    <col min="4356" max="4356" width="19.5703125" customWidth="1"/>
    <col min="4609" max="4609" width="18.28515625" customWidth="1"/>
    <col min="4610" max="4610" width="27" customWidth="1"/>
    <col min="4611" max="4611" width="20.28515625" customWidth="1"/>
    <col min="4612" max="4612" width="19.5703125" customWidth="1"/>
    <col min="4865" max="4865" width="18.28515625" customWidth="1"/>
    <col min="4866" max="4866" width="27" customWidth="1"/>
    <col min="4867" max="4867" width="20.28515625" customWidth="1"/>
    <col min="4868" max="4868" width="19.5703125" customWidth="1"/>
    <col min="5121" max="5121" width="18.28515625" customWidth="1"/>
    <col min="5122" max="5122" width="27" customWidth="1"/>
    <col min="5123" max="5123" width="20.28515625" customWidth="1"/>
    <col min="5124" max="5124" width="19.5703125" customWidth="1"/>
    <col min="5377" max="5377" width="18.28515625" customWidth="1"/>
    <col min="5378" max="5378" width="27" customWidth="1"/>
    <col min="5379" max="5379" width="20.28515625" customWidth="1"/>
    <col min="5380" max="5380" width="19.5703125" customWidth="1"/>
    <col min="5633" max="5633" width="18.28515625" customWidth="1"/>
    <col min="5634" max="5634" width="27" customWidth="1"/>
    <col min="5635" max="5635" width="20.28515625" customWidth="1"/>
    <col min="5636" max="5636" width="19.5703125" customWidth="1"/>
    <col min="5889" max="5889" width="18.28515625" customWidth="1"/>
    <col min="5890" max="5890" width="27" customWidth="1"/>
    <col min="5891" max="5891" width="20.28515625" customWidth="1"/>
    <col min="5892" max="5892" width="19.5703125" customWidth="1"/>
    <col min="6145" max="6145" width="18.28515625" customWidth="1"/>
    <col min="6146" max="6146" width="27" customWidth="1"/>
    <col min="6147" max="6147" width="20.28515625" customWidth="1"/>
    <col min="6148" max="6148" width="19.5703125" customWidth="1"/>
    <col min="6401" max="6401" width="18.28515625" customWidth="1"/>
    <col min="6402" max="6402" width="27" customWidth="1"/>
    <col min="6403" max="6403" width="20.28515625" customWidth="1"/>
    <col min="6404" max="6404" width="19.5703125" customWidth="1"/>
    <col min="6657" max="6657" width="18.28515625" customWidth="1"/>
    <col min="6658" max="6658" width="27" customWidth="1"/>
    <col min="6659" max="6659" width="20.28515625" customWidth="1"/>
    <col min="6660" max="6660" width="19.5703125" customWidth="1"/>
    <col min="6913" max="6913" width="18.28515625" customWidth="1"/>
    <col min="6914" max="6914" width="27" customWidth="1"/>
    <col min="6915" max="6915" width="20.28515625" customWidth="1"/>
    <col min="6916" max="6916" width="19.5703125" customWidth="1"/>
    <col min="7169" max="7169" width="18.28515625" customWidth="1"/>
    <col min="7170" max="7170" width="27" customWidth="1"/>
    <col min="7171" max="7171" width="20.28515625" customWidth="1"/>
    <col min="7172" max="7172" width="19.5703125" customWidth="1"/>
    <col min="7425" max="7425" width="18.28515625" customWidth="1"/>
    <col min="7426" max="7426" width="27" customWidth="1"/>
    <col min="7427" max="7427" width="20.28515625" customWidth="1"/>
    <col min="7428" max="7428" width="19.5703125" customWidth="1"/>
    <col min="7681" max="7681" width="18.28515625" customWidth="1"/>
    <col min="7682" max="7682" width="27" customWidth="1"/>
    <col min="7683" max="7683" width="20.28515625" customWidth="1"/>
    <col min="7684" max="7684" width="19.5703125" customWidth="1"/>
    <col min="7937" max="7937" width="18.28515625" customWidth="1"/>
    <col min="7938" max="7938" width="27" customWidth="1"/>
    <col min="7939" max="7939" width="20.28515625" customWidth="1"/>
    <col min="7940" max="7940" width="19.5703125" customWidth="1"/>
    <col min="8193" max="8193" width="18.28515625" customWidth="1"/>
    <col min="8194" max="8194" width="27" customWidth="1"/>
    <col min="8195" max="8195" width="20.28515625" customWidth="1"/>
    <col min="8196" max="8196" width="19.5703125" customWidth="1"/>
    <col min="8449" max="8449" width="18.28515625" customWidth="1"/>
    <col min="8450" max="8450" width="27" customWidth="1"/>
    <col min="8451" max="8451" width="20.28515625" customWidth="1"/>
    <col min="8452" max="8452" width="19.5703125" customWidth="1"/>
    <col min="8705" max="8705" width="18.28515625" customWidth="1"/>
    <col min="8706" max="8706" width="27" customWidth="1"/>
    <col min="8707" max="8707" width="20.28515625" customWidth="1"/>
    <col min="8708" max="8708" width="19.5703125" customWidth="1"/>
    <col min="8961" max="8961" width="18.28515625" customWidth="1"/>
    <col min="8962" max="8962" width="27" customWidth="1"/>
    <col min="8963" max="8963" width="20.28515625" customWidth="1"/>
    <col min="8964" max="8964" width="19.5703125" customWidth="1"/>
    <col min="9217" max="9217" width="18.28515625" customWidth="1"/>
    <col min="9218" max="9218" width="27" customWidth="1"/>
    <col min="9219" max="9219" width="20.28515625" customWidth="1"/>
    <col min="9220" max="9220" width="19.5703125" customWidth="1"/>
    <col min="9473" max="9473" width="18.28515625" customWidth="1"/>
    <col min="9474" max="9474" width="27" customWidth="1"/>
    <col min="9475" max="9475" width="20.28515625" customWidth="1"/>
    <col min="9476" max="9476" width="19.5703125" customWidth="1"/>
    <col min="9729" max="9729" width="18.28515625" customWidth="1"/>
    <col min="9730" max="9730" width="27" customWidth="1"/>
    <col min="9731" max="9731" width="20.28515625" customWidth="1"/>
    <col min="9732" max="9732" width="19.5703125" customWidth="1"/>
    <col min="9985" max="9985" width="18.28515625" customWidth="1"/>
    <col min="9986" max="9986" width="27" customWidth="1"/>
    <col min="9987" max="9987" width="20.28515625" customWidth="1"/>
    <col min="9988" max="9988" width="19.5703125" customWidth="1"/>
    <col min="10241" max="10241" width="18.28515625" customWidth="1"/>
    <col min="10242" max="10242" width="27" customWidth="1"/>
    <col min="10243" max="10243" width="20.28515625" customWidth="1"/>
    <col min="10244" max="10244" width="19.5703125" customWidth="1"/>
    <col min="10497" max="10497" width="18.28515625" customWidth="1"/>
    <col min="10498" max="10498" width="27" customWidth="1"/>
    <col min="10499" max="10499" width="20.28515625" customWidth="1"/>
    <col min="10500" max="10500" width="19.5703125" customWidth="1"/>
    <col min="10753" max="10753" width="18.28515625" customWidth="1"/>
    <col min="10754" max="10754" width="27" customWidth="1"/>
    <col min="10755" max="10755" width="20.28515625" customWidth="1"/>
    <col min="10756" max="10756" width="19.5703125" customWidth="1"/>
    <col min="11009" max="11009" width="18.28515625" customWidth="1"/>
    <col min="11010" max="11010" width="27" customWidth="1"/>
    <col min="11011" max="11011" width="20.28515625" customWidth="1"/>
    <col min="11012" max="11012" width="19.5703125" customWidth="1"/>
    <col min="11265" max="11265" width="18.28515625" customWidth="1"/>
    <col min="11266" max="11266" width="27" customWidth="1"/>
    <col min="11267" max="11267" width="20.28515625" customWidth="1"/>
    <col min="11268" max="11268" width="19.5703125" customWidth="1"/>
    <col min="11521" max="11521" width="18.28515625" customWidth="1"/>
    <col min="11522" max="11522" width="27" customWidth="1"/>
    <col min="11523" max="11523" width="20.28515625" customWidth="1"/>
    <col min="11524" max="11524" width="19.5703125" customWidth="1"/>
    <col min="11777" max="11777" width="18.28515625" customWidth="1"/>
    <col min="11778" max="11778" width="27" customWidth="1"/>
    <col min="11779" max="11779" width="20.28515625" customWidth="1"/>
    <col min="11780" max="11780" width="19.5703125" customWidth="1"/>
    <col min="12033" max="12033" width="18.28515625" customWidth="1"/>
    <col min="12034" max="12034" width="27" customWidth="1"/>
    <col min="12035" max="12035" width="20.28515625" customWidth="1"/>
    <col min="12036" max="12036" width="19.5703125" customWidth="1"/>
    <col min="12289" max="12289" width="18.28515625" customWidth="1"/>
    <col min="12290" max="12290" width="27" customWidth="1"/>
    <col min="12291" max="12291" width="20.28515625" customWidth="1"/>
    <col min="12292" max="12292" width="19.5703125" customWidth="1"/>
    <col min="12545" max="12545" width="18.28515625" customWidth="1"/>
    <col min="12546" max="12546" width="27" customWidth="1"/>
    <col min="12547" max="12547" width="20.28515625" customWidth="1"/>
    <col min="12548" max="12548" width="19.5703125" customWidth="1"/>
    <col min="12801" max="12801" width="18.28515625" customWidth="1"/>
    <col min="12802" max="12802" width="27" customWidth="1"/>
    <col min="12803" max="12803" width="20.28515625" customWidth="1"/>
    <col min="12804" max="12804" width="19.5703125" customWidth="1"/>
    <col min="13057" max="13057" width="18.28515625" customWidth="1"/>
    <col min="13058" max="13058" width="27" customWidth="1"/>
    <col min="13059" max="13059" width="20.28515625" customWidth="1"/>
    <col min="13060" max="13060" width="19.5703125" customWidth="1"/>
    <col min="13313" max="13313" width="18.28515625" customWidth="1"/>
    <col min="13314" max="13314" width="27" customWidth="1"/>
    <col min="13315" max="13315" width="20.28515625" customWidth="1"/>
    <col min="13316" max="13316" width="19.5703125" customWidth="1"/>
    <col min="13569" max="13569" width="18.28515625" customWidth="1"/>
    <col min="13570" max="13570" width="27" customWidth="1"/>
    <col min="13571" max="13571" width="20.28515625" customWidth="1"/>
    <col min="13572" max="13572" width="19.5703125" customWidth="1"/>
    <col min="13825" max="13825" width="18.28515625" customWidth="1"/>
    <col min="13826" max="13826" width="27" customWidth="1"/>
    <col min="13827" max="13827" width="20.28515625" customWidth="1"/>
    <col min="13828" max="13828" width="19.5703125" customWidth="1"/>
    <col min="14081" max="14081" width="18.28515625" customWidth="1"/>
    <col min="14082" max="14082" width="27" customWidth="1"/>
    <col min="14083" max="14083" width="20.28515625" customWidth="1"/>
    <col min="14084" max="14084" width="19.5703125" customWidth="1"/>
    <col min="14337" max="14337" width="18.28515625" customWidth="1"/>
    <col min="14338" max="14338" width="27" customWidth="1"/>
    <col min="14339" max="14339" width="20.28515625" customWidth="1"/>
    <col min="14340" max="14340" width="19.5703125" customWidth="1"/>
    <col min="14593" max="14593" width="18.28515625" customWidth="1"/>
    <col min="14594" max="14594" width="27" customWidth="1"/>
    <col min="14595" max="14595" width="20.28515625" customWidth="1"/>
    <col min="14596" max="14596" width="19.5703125" customWidth="1"/>
    <col min="14849" max="14849" width="18.28515625" customWidth="1"/>
    <col min="14850" max="14850" width="27" customWidth="1"/>
    <col min="14851" max="14851" width="20.28515625" customWidth="1"/>
    <col min="14852" max="14852" width="19.5703125" customWidth="1"/>
    <col min="15105" max="15105" width="18.28515625" customWidth="1"/>
    <col min="15106" max="15106" width="27" customWidth="1"/>
    <col min="15107" max="15107" width="20.28515625" customWidth="1"/>
    <col min="15108" max="15108" width="19.5703125" customWidth="1"/>
    <col min="15361" max="15361" width="18.28515625" customWidth="1"/>
    <col min="15362" max="15362" width="27" customWidth="1"/>
    <col min="15363" max="15363" width="20.28515625" customWidth="1"/>
    <col min="15364" max="15364" width="19.5703125" customWidth="1"/>
    <col min="15617" max="15617" width="18.28515625" customWidth="1"/>
    <col min="15618" max="15618" width="27" customWidth="1"/>
    <col min="15619" max="15619" width="20.28515625" customWidth="1"/>
    <col min="15620" max="15620" width="19.5703125" customWidth="1"/>
    <col min="15873" max="15873" width="18.28515625" customWidth="1"/>
    <col min="15874" max="15874" width="27" customWidth="1"/>
    <col min="15875" max="15875" width="20.28515625" customWidth="1"/>
    <col min="15876" max="15876" width="19.5703125" customWidth="1"/>
    <col min="16129" max="16129" width="18.28515625" customWidth="1"/>
    <col min="16130" max="16130" width="27" customWidth="1"/>
    <col min="16131" max="16131" width="20.28515625" customWidth="1"/>
    <col min="16132" max="16132" width="19.5703125" customWidth="1"/>
  </cols>
  <sheetData>
    <row r="1" spans="1:13" ht="13.5" thickBot="1" x14ac:dyDescent="0.25"/>
    <row r="2" spans="1:13" ht="16.5" thickBot="1" x14ac:dyDescent="0.3">
      <c r="B2" s="400" t="s">
        <v>318</v>
      </c>
      <c r="F2" s="1"/>
      <c r="G2" s="1"/>
      <c r="H2" s="1"/>
      <c r="I2" s="1"/>
      <c r="J2" s="1"/>
      <c r="K2" s="1"/>
      <c r="L2" s="1"/>
      <c r="M2" s="1"/>
    </row>
    <row r="3" spans="1:13" ht="13.5" thickBot="1" x14ac:dyDescent="0.25">
      <c r="F3" s="1"/>
      <c r="G3" s="1"/>
      <c r="H3" s="1"/>
      <c r="I3" s="1"/>
      <c r="J3" s="1"/>
      <c r="K3" s="1"/>
      <c r="L3" s="1"/>
      <c r="M3" s="1"/>
    </row>
    <row r="4" spans="1:13" ht="45.75" thickBot="1" x14ac:dyDescent="0.25">
      <c r="B4" s="392" t="s">
        <v>319</v>
      </c>
      <c r="C4" s="531" t="s">
        <v>320</v>
      </c>
      <c r="D4" s="532" t="s">
        <v>321</v>
      </c>
      <c r="F4" s="1"/>
      <c r="G4" s="1"/>
      <c r="H4" s="1"/>
      <c r="I4" s="1"/>
      <c r="J4" s="1"/>
      <c r="K4" s="1"/>
      <c r="L4" s="1"/>
      <c r="M4" s="1"/>
    </row>
    <row r="5" spans="1:13" ht="20.100000000000001" customHeight="1" x14ac:dyDescent="0.2">
      <c r="A5" s="497"/>
      <c r="B5" s="536" t="s">
        <v>771</v>
      </c>
      <c r="C5" s="498">
        <v>3</v>
      </c>
      <c r="D5" s="421">
        <v>0</v>
      </c>
      <c r="F5" s="1"/>
      <c r="G5" s="1"/>
      <c r="H5" s="1"/>
      <c r="I5" s="1"/>
      <c r="J5" s="1"/>
      <c r="K5" s="1"/>
      <c r="L5" s="1"/>
      <c r="M5" s="1"/>
    </row>
    <row r="6" spans="1:13" ht="20.100000000000001" customHeight="1" x14ac:dyDescent="0.2">
      <c r="A6" s="132"/>
      <c r="B6" s="537"/>
      <c r="C6" s="499"/>
      <c r="D6" s="422"/>
      <c r="F6" s="1"/>
      <c r="G6" s="1"/>
      <c r="H6" s="1"/>
      <c r="I6" s="1"/>
      <c r="J6" s="1"/>
      <c r="K6" s="1"/>
      <c r="L6" s="1"/>
      <c r="M6" s="1"/>
    </row>
    <row r="7" spans="1:13" ht="20.100000000000001" customHeight="1" x14ac:dyDescent="0.2">
      <c r="B7" s="537"/>
      <c r="C7" s="499"/>
      <c r="D7" s="422"/>
      <c r="F7" s="1"/>
      <c r="G7" s="1"/>
      <c r="H7" s="1"/>
      <c r="I7" s="1"/>
      <c r="J7" s="1"/>
      <c r="K7" s="1"/>
      <c r="L7" s="1"/>
      <c r="M7" s="1"/>
    </row>
    <row r="8" spans="1:13" ht="20.100000000000001" customHeight="1" x14ac:dyDescent="0.2">
      <c r="B8" s="537"/>
      <c r="C8" s="499"/>
      <c r="D8" s="422"/>
      <c r="F8" s="1"/>
      <c r="G8" s="1"/>
      <c r="H8" s="1"/>
      <c r="I8" s="1"/>
      <c r="J8" s="1"/>
      <c r="K8" s="1"/>
      <c r="L8" s="1"/>
      <c r="M8" s="1"/>
    </row>
    <row r="9" spans="1:13" ht="20.100000000000001" customHeight="1" thickBot="1" x14ac:dyDescent="0.25">
      <c r="B9" s="538"/>
      <c r="C9" s="539"/>
      <c r="D9" s="540"/>
      <c r="F9" s="1"/>
      <c r="G9" s="1"/>
      <c r="H9" s="1"/>
      <c r="I9" s="1"/>
      <c r="J9" s="1"/>
      <c r="K9" s="1"/>
      <c r="L9" s="1"/>
      <c r="M9" s="1"/>
    </row>
    <row r="10" spans="1:13" ht="20.100000000000001" customHeight="1" thickBot="1" x14ac:dyDescent="0.25">
      <c r="B10" s="541" t="s">
        <v>102</v>
      </c>
      <c r="C10" s="542">
        <f>SUM(C5:C6)</f>
        <v>3</v>
      </c>
      <c r="D10" s="543">
        <f>SUM(D5:D8)</f>
        <v>0</v>
      </c>
    </row>
    <row r="11" spans="1:13" ht="20.100000000000001" customHeight="1" thickBot="1" x14ac:dyDescent="0.25">
      <c r="B11" s="544" t="s">
        <v>23</v>
      </c>
      <c r="C11" s="1102">
        <f>C10+D10</f>
        <v>3</v>
      </c>
      <c r="D11" s="1103"/>
    </row>
    <row r="13" spans="1:13" ht="13.5" thickBot="1" x14ac:dyDescent="0.25"/>
    <row r="14" spans="1:13" ht="45.75" thickBot="1" x14ac:dyDescent="0.25">
      <c r="B14" s="530" t="s">
        <v>322</v>
      </c>
      <c r="C14" s="419" t="s">
        <v>320</v>
      </c>
      <c r="D14" s="420" t="s">
        <v>321</v>
      </c>
      <c r="F14" s="1"/>
      <c r="G14" s="1"/>
      <c r="H14" s="1"/>
      <c r="I14" s="1"/>
      <c r="J14" s="1"/>
      <c r="K14" s="1"/>
      <c r="L14" s="1"/>
      <c r="M14" s="1"/>
    </row>
    <row r="15" spans="1:13" ht="20.100000000000001" customHeight="1" x14ac:dyDescent="0.2">
      <c r="A15" s="1003" t="s">
        <v>780</v>
      </c>
      <c r="B15" s="536" t="s">
        <v>782</v>
      </c>
      <c r="C15" s="545">
        <v>0</v>
      </c>
      <c r="D15" s="421">
        <v>0</v>
      </c>
      <c r="F15" s="1"/>
      <c r="G15" s="1"/>
      <c r="H15" s="1"/>
      <c r="I15" s="1"/>
      <c r="J15" s="1"/>
      <c r="K15" s="1"/>
      <c r="L15" s="1"/>
      <c r="M15" s="1"/>
    </row>
    <row r="16" spans="1:13" ht="20.100000000000001" customHeight="1" x14ac:dyDescent="0.2">
      <c r="A16" s="132" t="s">
        <v>781</v>
      </c>
      <c r="B16" s="537"/>
      <c r="C16" s="423"/>
      <c r="D16" s="425"/>
      <c r="F16" s="1"/>
      <c r="G16" s="1"/>
      <c r="H16" s="1"/>
      <c r="I16" s="1"/>
      <c r="J16" s="1"/>
      <c r="K16" s="1"/>
      <c r="L16" s="1"/>
      <c r="M16" s="1"/>
    </row>
    <row r="17" spans="2:13" ht="20.100000000000001" customHeight="1" thickBot="1" x14ac:dyDescent="0.25">
      <c r="B17" s="546"/>
      <c r="C17" s="430"/>
      <c r="D17" s="540"/>
      <c r="F17" s="1"/>
      <c r="G17" s="1"/>
      <c r="H17" s="1"/>
      <c r="I17" s="1"/>
      <c r="J17" s="1"/>
      <c r="K17" s="1"/>
      <c r="L17" s="1"/>
      <c r="M17" s="1"/>
    </row>
    <row r="18" spans="2:13" ht="20.100000000000001" customHeight="1" thickBot="1" x14ac:dyDescent="0.3">
      <c r="B18" s="533" t="s">
        <v>102</v>
      </c>
      <c r="C18" s="534">
        <f>SUM(C15:C16)</f>
        <v>0</v>
      </c>
      <c r="D18" s="535">
        <f>SUM(D15:D17)</f>
        <v>0</v>
      </c>
    </row>
    <row r="19" spans="2:13" ht="20.100000000000001" customHeight="1" thickBot="1" x14ac:dyDescent="0.3">
      <c r="B19" s="424" t="s">
        <v>23</v>
      </c>
      <c r="C19" s="1104">
        <f>C18+D18</f>
        <v>0</v>
      </c>
      <c r="D19" s="1105"/>
    </row>
  </sheetData>
  <mergeCells count="2">
    <mergeCell ref="C11:D11"/>
    <mergeCell ref="C19:D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02924-89E4-4032-A90B-150794EA25BB}">
  <sheetPr>
    <tabColor theme="5" tint="0.39997558519241921"/>
  </sheetPr>
  <dimension ref="B1:P44"/>
  <sheetViews>
    <sheetView view="pageBreakPreview" topLeftCell="A34" zoomScaleNormal="100" zoomScaleSheetLayoutView="100" workbookViewId="0">
      <selection activeCell="B29" sqref="B29:B44"/>
    </sheetView>
  </sheetViews>
  <sheetFormatPr defaultRowHeight="12.75" x14ac:dyDescent="0.2"/>
  <cols>
    <col min="1" max="1" width="3.140625" customWidth="1"/>
    <col min="2" max="2" width="13.140625" customWidth="1"/>
    <col min="3" max="3" width="45.28515625" style="361" customWidth="1"/>
    <col min="4" max="4" width="7.5703125" style="362" customWidth="1"/>
    <col min="5" max="5" width="11.28515625" style="363" customWidth="1"/>
    <col min="6" max="6" width="13.42578125" style="364" customWidth="1"/>
    <col min="7" max="7" width="12.5703125" style="365" customWidth="1"/>
    <col min="8" max="8" width="12.7109375" style="365" customWidth="1"/>
    <col min="10" max="10" width="11.85546875" customWidth="1"/>
    <col min="257" max="257" width="3.140625" customWidth="1"/>
    <col min="258" max="258" width="13.28515625" customWidth="1"/>
    <col min="259" max="259" width="31.140625" customWidth="1"/>
    <col min="260" max="261" width="7.5703125" customWidth="1"/>
    <col min="262" max="262" width="11.7109375" customWidth="1"/>
    <col min="263" max="263" width="12.5703125" customWidth="1"/>
    <col min="264" max="264" width="12.7109375" customWidth="1"/>
    <col min="266" max="266" width="116" customWidth="1"/>
    <col min="513" max="513" width="3.140625" customWidth="1"/>
    <col min="514" max="514" width="13.28515625" customWidth="1"/>
    <col min="515" max="515" width="31.140625" customWidth="1"/>
    <col min="516" max="517" width="7.5703125" customWidth="1"/>
    <col min="518" max="518" width="11.7109375" customWidth="1"/>
    <col min="519" max="519" width="12.5703125" customWidth="1"/>
    <col min="520" max="520" width="12.7109375" customWidth="1"/>
    <col min="522" max="522" width="116" customWidth="1"/>
    <col min="769" max="769" width="3.140625" customWidth="1"/>
    <col min="770" max="770" width="13.28515625" customWidth="1"/>
    <col min="771" max="771" width="31.140625" customWidth="1"/>
    <col min="772" max="773" width="7.5703125" customWidth="1"/>
    <col min="774" max="774" width="11.7109375" customWidth="1"/>
    <col min="775" max="775" width="12.5703125" customWidth="1"/>
    <col min="776" max="776" width="12.7109375" customWidth="1"/>
    <col min="778" max="778" width="116" customWidth="1"/>
    <col min="1025" max="1025" width="3.140625" customWidth="1"/>
    <col min="1026" max="1026" width="13.28515625" customWidth="1"/>
    <col min="1027" max="1027" width="31.140625" customWidth="1"/>
    <col min="1028" max="1029" width="7.5703125" customWidth="1"/>
    <col min="1030" max="1030" width="11.7109375" customWidth="1"/>
    <col min="1031" max="1031" width="12.5703125" customWidth="1"/>
    <col min="1032" max="1032" width="12.7109375" customWidth="1"/>
    <col min="1034" max="1034" width="116" customWidth="1"/>
    <col min="1281" max="1281" width="3.140625" customWidth="1"/>
    <col min="1282" max="1282" width="13.28515625" customWidth="1"/>
    <col min="1283" max="1283" width="31.140625" customWidth="1"/>
    <col min="1284" max="1285" width="7.5703125" customWidth="1"/>
    <col min="1286" max="1286" width="11.7109375" customWidth="1"/>
    <col min="1287" max="1287" width="12.5703125" customWidth="1"/>
    <col min="1288" max="1288" width="12.7109375" customWidth="1"/>
    <col min="1290" max="1290" width="116" customWidth="1"/>
    <col min="1537" max="1537" width="3.140625" customWidth="1"/>
    <col min="1538" max="1538" width="13.28515625" customWidth="1"/>
    <col min="1539" max="1539" width="31.140625" customWidth="1"/>
    <col min="1540" max="1541" width="7.5703125" customWidth="1"/>
    <col min="1542" max="1542" width="11.7109375" customWidth="1"/>
    <col min="1543" max="1543" width="12.5703125" customWidth="1"/>
    <col min="1544" max="1544" width="12.7109375" customWidth="1"/>
    <col min="1546" max="1546" width="116" customWidth="1"/>
    <col min="1793" max="1793" width="3.140625" customWidth="1"/>
    <col min="1794" max="1794" width="13.28515625" customWidth="1"/>
    <col min="1795" max="1795" width="31.140625" customWidth="1"/>
    <col min="1796" max="1797" width="7.5703125" customWidth="1"/>
    <col min="1798" max="1798" width="11.7109375" customWidth="1"/>
    <col min="1799" max="1799" width="12.5703125" customWidth="1"/>
    <col min="1800" max="1800" width="12.7109375" customWidth="1"/>
    <col min="1802" max="1802" width="116" customWidth="1"/>
    <col min="2049" max="2049" width="3.140625" customWidth="1"/>
    <col min="2050" max="2050" width="13.28515625" customWidth="1"/>
    <col min="2051" max="2051" width="31.140625" customWidth="1"/>
    <col min="2052" max="2053" width="7.5703125" customWidth="1"/>
    <col min="2054" max="2054" width="11.7109375" customWidth="1"/>
    <col min="2055" max="2055" width="12.5703125" customWidth="1"/>
    <col min="2056" max="2056" width="12.7109375" customWidth="1"/>
    <col min="2058" max="2058" width="116" customWidth="1"/>
    <col min="2305" max="2305" width="3.140625" customWidth="1"/>
    <col min="2306" max="2306" width="13.28515625" customWidth="1"/>
    <col min="2307" max="2307" width="31.140625" customWidth="1"/>
    <col min="2308" max="2309" width="7.5703125" customWidth="1"/>
    <col min="2310" max="2310" width="11.7109375" customWidth="1"/>
    <col min="2311" max="2311" width="12.5703125" customWidth="1"/>
    <col min="2312" max="2312" width="12.7109375" customWidth="1"/>
    <col min="2314" max="2314" width="116" customWidth="1"/>
    <col min="2561" max="2561" width="3.140625" customWidth="1"/>
    <col min="2562" max="2562" width="13.28515625" customWidth="1"/>
    <col min="2563" max="2563" width="31.140625" customWidth="1"/>
    <col min="2564" max="2565" width="7.5703125" customWidth="1"/>
    <col min="2566" max="2566" width="11.7109375" customWidth="1"/>
    <col min="2567" max="2567" width="12.5703125" customWidth="1"/>
    <col min="2568" max="2568" width="12.7109375" customWidth="1"/>
    <col min="2570" max="2570" width="116" customWidth="1"/>
    <col min="2817" max="2817" width="3.140625" customWidth="1"/>
    <col min="2818" max="2818" width="13.28515625" customWidth="1"/>
    <col min="2819" max="2819" width="31.140625" customWidth="1"/>
    <col min="2820" max="2821" width="7.5703125" customWidth="1"/>
    <col min="2822" max="2822" width="11.7109375" customWidth="1"/>
    <col min="2823" max="2823" width="12.5703125" customWidth="1"/>
    <col min="2824" max="2824" width="12.7109375" customWidth="1"/>
    <col min="2826" max="2826" width="116" customWidth="1"/>
    <col min="3073" max="3073" width="3.140625" customWidth="1"/>
    <col min="3074" max="3074" width="13.28515625" customWidth="1"/>
    <col min="3075" max="3075" width="31.140625" customWidth="1"/>
    <col min="3076" max="3077" width="7.5703125" customWidth="1"/>
    <col min="3078" max="3078" width="11.7109375" customWidth="1"/>
    <col min="3079" max="3079" width="12.5703125" customWidth="1"/>
    <col min="3080" max="3080" width="12.7109375" customWidth="1"/>
    <col min="3082" max="3082" width="116" customWidth="1"/>
    <col min="3329" max="3329" width="3.140625" customWidth="1"/>
    <col min="3330" max="3330" width="13.28515625" customWidth="1"/>
    <col min="3331" max="3331" width="31.140625" customWidth="1"/>
    <col min="3332" max="3333" width="7.5703125" customWidth="1"/>
    <col min="3334" max="3334" width="11.7109375" customWidth="1"/>
    <col min="3335" max="3335" width="12.5703125" customWidth="1"/>
    <col min="3336" max="3336" width="12.7109375" customWidth="1"/>
    <col min="3338" max="3338" width="116" customWidth="1"/>
    <col min="3585" max="3585" width="3.140625" customWidth="1"/>
    <col min="3586" max="3586" width="13.28515625" customWidth="1"/>
    <col min="3587" max="3587" width="31.140625" customWidth="1"/>
    <col min="3588" max="3589" width="7.5703125" customWidth="1"/>
    <col min="3590" max="3590" width="11.7109375" customWidth="1"/>
    <col min="3591" max="3591" width="12.5703125" customWidth="1"/>
    <col min="3592" max="3592" width="12.7109375" customWidth="1"/>
    <col min="3594" max="3594" width="116" customWidth="1"/>
    <col min="3841" max="3841" width="3.140625" customWidth="1"/>
    <col min="3842" max="3842" width="13.28515625" customWidth="1"/>
    <col min="3843" max="3843" width="31.140625" customWidth="1"/>
    <col min="3844" max="3845" width="7.5703125" customWidth="1"/>
    <col min="3846" max="3846" width="11.7109375" customWidth="1"/>
    <col min="3847" max="3847" width="12.5703125" customWidth="1"/>
    <col min="3848" max="3848" width="12.7109375" customWidth="1"/>
    <col min="3850" max="3850" width="116" customWidth="1"/>
    <col min="4097" max="4097" width="3.140625" customWidth="1"/>
    <col min="4098" max="4098" width="13.28515625" customWidth="1"/>
    <col min="4099" max="4099" width="31.140625" customWidth="1"/>
    <col min="4100" max="4101" width="7.5703125" customWidth="1"/>
    <col min="4102" max="4102" width="11.7109375" customWidth="1"/>
    <col min="4103" max="4103" width="12.5703125" customWidth="1"/>
    <col min="4104" max="4104" width="12.7109375" customWidth="1"/>
    <col min="4106" max="4106" width="116" customWidth="1"/>
    <col min="4353" max="4353" width="3.140625" customWidth="1"/>
    <col min="4354" max="4354" width="13.28515625" customWidth="1"/>
    <col min="4355" max="4355" width="31.140625" customWidth="1"/>
    <col min="4356" max="4357" width="7.5703125" customWidth="1"/>
    <col min="4358" max="4358" width="11.7109375" customWidth="1"/>
    <col min="4359" max="4359" width="12.5703125" customWidth="1"/>
    <col min="4360" max="4360" width="12.7109375" customWidth="1"/>
    <col min="4362" max="4362" width="116" customWidth="1"/>
    <col min="4609" max="4609" width="3.140625" customWidth="1"/>
    <col min="4610" max="4610" width="13.28515625" customWidth="1"/>
    <col min="4611" max="4611" width="31.140625" customWidth="1"/>
    <col min="4612" max="4613" width="7.5703125" customWidth="1"/>
    <col min="4614" max="4614" width="11.7109375" customWidth="1"/>
    <col min="4615" max="4615" width="12.5703125" customWidth="1"/>
    <col min="4616" max="4616" width="12.7109375" customWidth="1"/>
    <col min="4618" max="4618" width="116" customWidth="1"/>
    <col min="4865" max="4865" width="3.140625" customWidth="1"/>
    <col min="4866" max="4866" width="13.28515625" customWidth="1"/>
    <col min="4867" max="4867" width="31.140625" customWidth="1"/>
    <col min="4868" max="4869" width="7.5703125" customWidth="1"/>
    <col min="4870" max="4870" width="11.7109375" customWidth="1"/>
    <col min="4871" max="4871" width="12.5703125" customWidth="1"/>
    <col min="4872" max="4872" width="12.7109375" customWidth="1"/>
    <col min="4874" max="4874" width="116" customWidth="1"/>
    <col min="5121" max="5121" width="3.140625" customWidth="1"/>
    <col min="5122" max="5122" width="13.28515625" customWidth="1"/>
    <col min="5123" max="5123" width="31.140625" customWidth="1"/>
    <col min="5124" max="5125" width="7.5703125" customWidth="1"/>
    <col min="5126" max="5126" width="11.7109375" customWidth="1"/>
    <col min="5127" max="5127" width="12.5703125" customWidth="1"/>
    <col min="5128" max="5128" width="12.7109375" customWidth="1"/>
    <col min="5130" max="5130" width="116" customWidth="1"/>
    <col min="5377" max="5377" width="3.140625" customWidth="1"/>
    <col min="5378" max="5378" width="13.28515625" customWidth="1"/>
    <col min="5379" max="5379" width="31.140625" customWidth="1"/>
    <col min="5380" max="5381" width="7.5703125" customWidth="1"/>
    <col min="5382" max="5382" width="11.7109375" customWidth="1"/>
    <col min="5383" max="5383" width="12.5703125" customWidth="1"/>
    <col min="5384" max="5384" width="12.7109375" customWidth="1"/>
    <col min="5386" max="5386" width="116" customWidth="1"/>
    <col min="5633" max="5633" width="3.140625" customWidth="1"/>
    <col min="5634" max="5634" width="13.28515625" customWidth="1"/>
    <col min="5635" max="5635" width="31.140625" customWidth="1"/>
    <col min="5636" max="5637" width="7.5703125" customWidth="1"/>
    <col min="5638" max="5638" width="11.7109375" customWidth="1"/>
    <col min="5639" max="5639" width="12.5703125" customWidth="1"/>
    <col min="5640" max="5640" width="12.7109375" customWidth="1"/>
    <col min="5642" max="5642" width="116" customWidth="1"/>
    <col min="5889" max="5889" width="3.140625" customWidth="1"/>
    <col min="5890" max="5890" width="13.28515625" customWidth="1"/>
    <col min="5891" max="5891" width="31.140625" customWidth="1"/>
    <col min="5892" max="5893" width="7.5703125" customWidth="1"/>
    <col min="5894" max="5894" width="11.7109375" customWidth="1"/>
    <col min="5895" max="5895" width="12.5703125" customWidth="1"/>
    <col min="5896" max="5896" width="12.7109375" customWidth="1"/>
    <col min="5898" max="5898" width="116" customWidth="1"/>
    <col min="6145" max="6145" width="3.140625" customWidth="1"/>
    <col min="6146" max="6146" width="13.28515625" customWidth="1"/>
    <col min="6147" max="6147" width="31.140625" customWidth="1"/>
    <col min="6148" max="6149" width="7.5703125" customWidth="1"/>
    <col min="6150" max="6150" width="11.7109375" customWidth="1"/>
    <col min="6151" max="6151" width="12.5703125" customWidth="1"/>
    <col min="6152" max="6152" width="12.7109375" customWidth="1"/>
    <col min="6154" max="6154" width="116" customWidth="1"/>
    <col min="6401" max="6401" width="3.140625" customWidth="1"/>
    <col min="6402" max="6402" width="13.28515625" customWidth="1"/>
    <col min="6403" max="6403" width="31.140625" customWidth="1"/>
    <col min="6404" max="6405" width="7.5703125" customWidth="1"/>
    <col min="6406" max="6406" width="11.7109375" customWidth="1"/>
    <col min="6407" max="6407" width="12.5703125" customWidth="1"/>
    <col min="6408" max="6408" width="12.7109375" customWidth="1"/>
    <col min="6410" max="6410" width="116" customWidth="1"/>
    <col min="6657" max="6657" width="3.140625" customWidth="1"/>
    <col min="6658" max="6658" width="13.28515625" customWidth="1"/>
    <col min="6659" max="6659" width="31.140625" customWidth="1"/>
    <col min="6660" max="6661" width="7.5703125" customWidth="1"/>
    <col min="6662" max="6662" width="11.7109375" customWidth="1"/>
    <col min="6663" max="6663" width="12.5703125" customWidth="1"/>
    <col min="6664" max="6664" width="12.7109375" customWidth="1"/>
    <col min="6666" max="6666" width="116" customWidth="1"/>
    <col min="6913" max="6913" width="3.140625" customWidth="1"/>
    <col min="6914" max="6914" width="13.28515625" customWidth="1"/>
    <col min="6915" max="6915" width="31.140625" customWidth="1"/>
    <col min="6916" max="6917" width="7.5703125" customWidth="1"/>
    <col min="6918" max="6918" width="11.7109375" customWidth="1"/>
    <col min="6919" max="6919" width="12.5703125" customWidth="1"/>
    <col min="6920" max="6920" width="12.7109375" customWidth="1"/>
    <col min="6922" max="6922" width="116" customWidth="1"/>
    <col min="7169" max="7169" width="3.140625" customWidth="1"/>
    <col min="7170" max="7170" width="13.28515625" customWidth="1"/>
    <col min="7171" max="7171" width="31.140625" customWidth="1"/>
    <col min="7172" max="7173" width="7.5703125" customWidth="1"/>
    <col min="7174" max="7174" width="11.7109375" customWidth="1"/>
    <col min="7175" max="7175" width="12.5703125" customWidth="1"/>
    <col min="7176" max="7176" width="12.7109375" customWidth="1"/>
    <col min="7178" max="7178" width="116" customWidth="1"/>
    <col min="7425" max="7425" width="3.140625" customWidth="1"/>
    <col min="7426" max="7426" width="13.28515625" customWidth="1"/>
    <col min="7427" max="7427" width="31.140625" customWidth="1"/>
    <col min="7428" max="7429" width="7.5703125" customWidth="1"/>
    <col min="7430" max="7430" width="11.7109375" customWidth="1"/>
    <col min="7431" max="7431" width="12.5703125" customWidth="1"/>
    <col min="7432" max="7432" width="12.7109375" customWidth="1"/>
    <col min="7434" max="7434" width="116" customWidth="1"/>
    <col min="7681" max="7681" width="3.140625" customWidth="1"/>
    <col min="7682" max="7682" width="13.28515625" customWidth="1"/>
    <col min="7683" max="7683" width="31.140625" customWidth="1"/>
    <col min="7684" max="7685" width="7.5703125" customWidth="1"/>
    <col min="7686" max="7686" width="11.7109375" customWidth="1"/>
    <col min="7687" max="7687" width="12.5703125" customWidth="1"/>
    <col min="7688" max="7688" width="12.7109375" customWidth="1"/>
    <col min="7690" max="7690" width="116" customWidth="1"/>
    <col min="7937" max="7937" width="3.140625" customWidth="1"/>
    <col min="7938" max="7938" width="13.28515625" customWidth="1"/>
    <col min="7939" max="7939" width="31.140625" customWidth="1"/>
    <col min="7940" max="7941" width="7.5703125" customWidth="1"/>
    <col min="7942" max="7942" width="11.7109375" customWidth="1"/>
    <col min="7943" max="7943" width="12.5703125" customWidth="1"/>
    <col min="7944" max="7944" width="12.7109375" customWidth="1"/>
    <col min="7946" max="7946" width="116" customWidth="1"/>
    <col min="8193" max="8193" width="3.140625" customWidth="1"/>
    <col min="8194" max="8194" width="13.28515625" customWidth="1"/>
    <col min="8195" max="8195" width="31.140625" customWidth="1"/>
    <col min="8196" max="8197" width="7.5703125" customWidth="1"/>
    <col min="8198" max="8198" width="11.7109375" customWidth="1"/>
    <col min="8199" max="8199" width="12.5703125" customWidth="1"/>
    <col min="8200" max="8200" width="12.7109375" customWidth="1"/>
    <col min="8202" max="8202" width="116" customWidth="1"/>
    <col min="8449" max="8449" width="3.140625" customWidth="1"/>
    <col min="8450" max="8450" width="13.28515625" customWidth="1"/>
    <col min="8451" max="8451" width="31.140625" customWidth="1"/>
    <col min="8452" max="8453" width="7.5703125" customWidth="1"/>
    <col min="8454" max="8454" width="11.7109375" customWidth="1"/>
    <col min="8455" max="8455" width="12.5703125" customWidth="1"/>
    <col min="8456" max="8456" width="12.7109375" customWidth="1"/>
    <col min="8458" max="8458" width="116" customWidth="1"/>
    <col min="8705" max="8705" width="3.140625" customWidth="1"/>
    <col min="8706" max="8706" width="13.28515625" customWidth="1"/>
    <col min="8707" max="8707" width="31.140625" customWidth="1"/>
    <col min="8708" max="8709" width="7.5703125" customWidth="1"/>
    <col min="8710" max="8710" width="11.7109375" customWidth="1"/>
    <col min="8711" max="8711" width="12.5703125" customWidth="1"/>
    <col min="8712" max="8712" width="12.7109375" customWidth="1"/>
    <col min="8714" max="8714" width="116" customWidth="1"/>
    <col min="8961" max="8961" width="3.140625" customWidth="1"/>
    <col min="8962" max="8962" width="13.28515625" customWidth="1"/>
    <col min="8963" max="8963" width="31.140625" customWidth="1"/>
    <col min="8964" max="8965" width="7.5703125" customWidth="1"/>
    <col min="8966" max="8966" width="11.7109375" customWidth="1"/>
    <col min="8967" max="8967" width="12.5703125" customWidth="1"/>
    <col min="8968" max="8968" width="12.7109375" customWidth="1"/>
    <col min="8970" max="8970" width="116" customWidth="1"/>
    <col min="9217" max="9217" width="3.140625" customWidth="1"/>
    <col min="9218" max="9218" width="13.28515625" customWidth="1"/>
    <col min="9219" max="9219" width="31.140625" customWidth="1"/>
    <col min="9220" max="9221" width="7.5703125" customWidth="1"/>
    <col min="9222" max="9222" width="11.7109375" customWidth="1"/>
    <col min="9223" max="9223" width="12.5703125" customWidth="1"/>
    <col min="9224" max="9224" width="12.7109375" customWidth="1"/>
    <col min="9226" max="9226" width="116" customWidth="1"/>
    <col min="9473" max="9473" width="3.140625" customWidth="1"/>
    <col min="9474" max="9474" width="13.28515625" customWidth="1"/>
    <col min="9475" max="9475" width="31.140625" customWidth="1"/>
    <col min="9476" max="9477" width="7.5703125" customWidth="1"/>
    <col min="9478" max="9478" width="11.7109375" customWidth="1"/>
    <col min="9479" max="9479" width="12.5703125" customWidth="1"/>
    <col min="9480" max="9480" width="12.7109375" customWidth="1"/>
    <col min="9482" max="9482" width="116" customWidth="1"/>
    <col min="9729" max="9729" width="3.140625" customWidth="1"/>
    <col min="9730" max="9730" width="13.28515625" customWidth="1"/>
    <col min="9731" max="9731" width="31.140625" customWidth="1"/>
    <col min="9732" max="9733" width="7.5703125" customWidth="1"/>
    <col min="9734" max="9734" width="11.7109375" customWidth="1"/>
    <col min="9735" max="9735" width="12.5703125" customWidth="1"/>
    <col min="9736" max="9736" width="12.7109375" customWidth="1"/>
    <col min="9738" max="9738" width="116" customWidth="1"/>
    <col min="9985" max="9985" width="3.140625" customWidth="1"/>
    <col min="9986" max="9986" width="13.28515625" customWidth="1"/>
    <col min="9987" max="9987" width="31.140625" customWidth="1"/>
    <col min="9988" max="9989" width="7.5703125" customWidth="1"/>
    <col min="9990" max="9990" width="11.7109375" customWidth="1"/>
    <col min="9991" max="9991" width="12.5703125" customWidth="1"/>
    <col min="9992" max="9992" width="12.7109375" customWidth="1"/>
    <col min="9994" max="9994" width="116" customWidth="1"/>
    <col min="10241" max="10241" width="3.140625" customWidth="1"/>
    <col min="10242" max="10242" width="13.28515625" customWidth="1"/>
    <col min="10243" max="10243" width="31.140625" customWidth="1"/>
    <col min="10244" max="10245" width="7.5703125" customWidth="1"/>
    <col min="10246" max="10246" width="11.7109375" customWidth="1"/>
    <col min="10247" max="10247" width="12.5703125" customWidth="1"/>
    <col min="10248" max="10248" width="12.7109375" customWidth="1"/>
    <col min="10250" max="10250" width="116" customWidth="1"/>
    <col min="10497" max="10497" width="3.140625" customWidth="1"/>
    <col min="10498" max="10498" width="13.28515625" customWidth="1"/>
    <col min="10499" max="10499" width="31.140625" customWidth="1"/>
    <col min="10500" max="10501" width="7.5703125" customWidth="1"/>
    <col min="10502" max="10502" width="11.7109375" customWidth="1"/>
    <col min="10503" max="10503" width="12.5703125" customWidth="1"/>
    <col min="10504" max="10504" width="12.7109375" customWidth="1"/>
    <col min="10506" max="10506" width="116" customWidth="1"/>
    <col min="10753" max="10753" width="3.140625" customWidth="1"/>
    <col min="10754" max="10754" width="13.28515625" customWidth="1"/>
    <col min="10755" max="10755" width="31.140625" customWidth="1"/>
    <col min="10756" max="10757" width="7.5703125" customWidth="1"/>
    <col min="10758" max="10758" width="11.7109375" customWidth="1"/>
    <col min="10759" max="10759" width="12.5703125" customWidth="1"/>
    <col min="10760" max="10760" width="12.7109375" customWidth="1"/>
    <col min="10762" max="10762" width="116" customWidth="1"/>
    <col min="11009" max="11009" width="3.140625" customWidth="1"/>
    <col min="11010" max="11010" width="13.28515625" customWidth="1"/>
    <col min="11011" max="11011" width="31.140625" customWidth="1"/>
    <col min="11012" max="11013" width="7.5703125" customWidth="1"/>
    <col min="11014" max="11014" width="11.7109375" customWidth="1"/>
    <col min="11015" max="11015" width="12.5703125" customWidth="1"/>
    <col min="11016" max="11016" width="12.7109375" customWidth="1"/>
    <col min="11018" max="11018" width="116" customWidth="1"/>
    <col min="11265" max="11265" width="3.140625" customWidth="1"/>
    <col min="11266" max="11266" width="13.28515625" customWidth="1"/>
    <col min="11267" max="11267" width="31.140625" customWidth="1"/>
    <col min="11268" max="11269" width="7.5703125" customWidth="1"/>
    <col min="11270" max="11270" width="11.7109375" customWidth="1"/>
    <col min="11271" max="11271" width="12.5703125" customWidth="1"/>
    <col min="11272" max="11272" width="12.7109375" customWidth="1"/>
    <col min="11274" max="11274" width="116" customWidth="1"/>
    <col min="11521" max="11521" width="3.140625" customWidth="1"/>
    <col min="11522" max="11522" width="13.28515625" customWidth="1"/>
    <col min="11523" max="11523" width="31.140625" customWidth="1"/>
    <col min="11524" max="11525" width="7.5703125" customWidth="1"/>
    <col min="11526" max="11526" width="11.7109375" customWidth="1"/>
    <col min="11527" max="11527" width="12.5703125" customWidth="1"/>
    <col min="11528" max="11528" width="12.7109375" customWidth="1"/>
    <col min="11530" max="11530" width="116" customWidth="1"/>
    <col min="11777" max="11777" width="3.140625" customWidth="1"/>
    <col min="11778" max="11778" width="13.28515625" customWidth="1"/>
    <col min="11779" max="11779" width="31.140625" customWidth="1"/>
    <col min="11780" max="11781" width="7.5703125" customWidth="1"/>
    <col min="11782" max="11782" width="11.7109375" customWidth="1"/>
    <col min="11783" max="11783" width="12.5703125" customWidth="1"/>
    <col min="11784" max="11784" width="12.7109375" customWidth="1"/>
    <col min="11786" max="11786" width="116" customWidth="1"/>
    <col min="12033" max="12033" width="3.140625" customWidth="1"/>
    <col min="12034" max="12034" width="13.28515625" customWidth="1"/>
    <col min="12035" max="12035" width="31.140625" customWidth="1"/>
    <col min="12036" max="12037" width="7.5703125" customWidth="1"/>
    <col min="12038" max="12038" width="11.7109375" customWidth="1"/>
    <col min="12039" max="12039" width="12.5703125" customWidth="1"/>
    <col min="12040" max="12040" width="12.7109375" customWidth="1"/>
    <col min="12042" max="12042" width="116" customWidth="1"/>
    <col min="12289" max="12289" width="3.140625" customWidth="1"/>
    <col min="12290" max="12290" width="13.28515625" customWidth="1"/>
    <col min="12291" max="12291" width="31.140625" customWidth="1"/>
    <col min="12292" max="12293" width="7.5703125" customWidth="1"/>
    <col min="12294" max="12294" width="11.7109375" customWidth="1"/>
    <col min="12295" max="12295" width="12.5703125" customWidth="1"/>
    <col min="12296" max="12296" width="12.7109375" customWidth="1"/>
    <col min="12298" max="12298" width="116" customWidth="1"/>
    <col min="12545" max="12545" width="3.140625" customWidth="1"/>
    <col min="12546" max="12546" width="13.28515625" customWidth="1"/>
    <col min="12547" max="12547" width="31.140625" customWidth="1"/>
    <col min="12548" max="12549" width="7.5703125" customWidth="1"/>
    <col min="12550" max="12550" width="11.7109375" customWidth="1"/>
    <col min="12551" max="12551" width="12.5703125" customWidth="1"/>
    <col min="12552" max="12552" width="12.7109375" customWidth="1"/>
    <col min="12554" max="12554" width="116" customWidth="1"/>
    <col min="12801" max="12801" width="3.140625" customWidth="1"/>
    <col min="12802" max="12802" width="13.28515625" customWidth="1"/>
    <col min="12803" max="12803" width="31.140625" customWidth="1"/>
    <col min="12804" max="12805" width="7.5703125" customWidth="1"/>
    <col min="12806" max="12806" width="11.7109375" customWidth="1"/>
    <col min="12807" max="12807" width="12.5703125" customWidth="1"/>
    <col min="12808" max="12808" width="12.7109375" customWidth="1"/>
    <col min="12810" max="12810" width="116" customWidth="1"/>
    <col min="13057" max="13057" width="3.140625" customWidth="1"/>
    <col min="13058" max="13058" width="13.28515625" customWidth="1"/>
    <col min="13059" max="13059" width="31.140625" customWidth="1"/>
    <col min="13060" max="13061" width="7.5703125" customWidth="1"/>
    <col min="13062" max="13062" width="11.7109375" customWidth="1"/>
    <col min="13063" max="13063" width="12.5703125" customWidth="1"/>
    <col min="13064" max="13064" width="12.7109375" customWidth="1"/>
    <col min="13066" max="13066" width="116" customWidth="1"/>
    <col min="13313" max="13313" width="3.140625" customWidth="1"/>
    <col min="13314" max="13314" width="13.28515625" customWidth="1"/>
    <col min="13315" max="13315" width="31.140625" customWidth="1"/>
    <col min="13316" max="13317" width="7.5703125" customWidth="1"/>
    <col min="13318" max="13318" width="11.7109375" customWidth="1"/>
    <col min="13319" max="13319" width="12.5703125" customWidth="1"/>
    <col min="13320" max="13320" width="12.7109375" customWidth="1"/>
    <col min="13322" max="13322" width="116" customWidth="1"/>
    <col min="13569" max="13569" width="3.140625" customWidth="1"/>
    <col min="13570" max="13570" width="13.28515625" customWidth="1"/>
    <col min="13571" max="13571" width="31.140625" customWidth="1"/>
    <col min="13572" max="13573" width="7.5703125" customWidth="1"/>
    <col min="13574" max="13574" width="11.7109375" customWidth="1"/>
    <col min="13575" max="13575" width="12.5703125" customWidth="1"/>
    <col min="13576" max="13576" width="12.7109375" customWidth="1"/>
    <col min="13578" max="13578" width="116" customWidth="1"/>
    <col min="13825" max="13825" width="3.140625" customWidth="1"/>
    <col min="13826" max="13826" width="13.28515625" customWidth="1"/>
    <col min="13827" max="13827" width="31.140625" customWidth="1"/>
    <col min="13828" max="13829" width="7.5703125" customWidth="1"/>
    <col min="13830" max="13830" width="11.7109375" customWidth="1"/>
    <col min="13831" max="13831" width="12.5703125" customWidth="1"/>
    <col min="13832" max="13832" width="12.7109375" customWidth="1"/>
    <col min="13834" max="13834" width="116" customWidth="1"/>
    <col min="14081" max="14081" width="3.140625" customWidth="1"/>
    <col min="14082" max="14082" width="13.28515625" customWidth="1"/>
    <col min="14083" max="14083" width="31.140625" customWidth="1"/>
    <col min="14084" max="14085" width="7.5703125" customWidth="1"/>
    <col min="14086" max="14086" width="11.7109375" customWidth="1"/>
    <col min="14087" max="14087" width="12.5703125" customWidth="1"/>
    <col min="14088" max="14088" width="12.7109375" customWidth="1"/>
    <col min="14090" max="14090" width="116" customWidth="1"/>
    <col min="14337" max="14337" width="3.140625" customWidth="1"/>
    <col min="14338" max="14338" width="13.28515625" customWidth="1"/>
    <col min="14339" max="14339" width="31.140625" customWidth="1"/>
    <col min="14340" max="14341" width="7.5703125" customWidth="1"/>
    <col min="14342" max="14342" width="11.7109375" customWidth="1"/>
    <col min="14343" max="14343" width="12.5703125" customWidth="1"/>
    <col min="14344" max="14344" width="12.7109375" customWidth="1"/>
    <col min="14346" max="14346" width="116" customWidth="1"/>
    <col min="14593" max="14593" width="3.140625" customWidth="1"/>
    <col min="14594" max="14594" width="13.28515625" customWidth="1"/>
    <col min="14595" max="14595" width="31.140625" customWidth="1"/>
    <col min="14596" max="14597" width="7.5703125" customWidth="1"/>
    <col min="14598" max="14598" width="11.7109375" customWidth="1"/>
    <col min="14599" max="14599" width="12.5703125" customWidth="1"/>
    <col min="14600" max="14600" width="12.7109375" customWidth="1"/>
    <col min="14602" max="14602" width="116" customWidth="1"/>
    <col min="14849" max="14849" width="3.140625" customWidth="1"/>
    <col min="14850" max="14850" width="13.28515625" customWidth="1"/>
    <col min="14851" max="14851" width="31.140625" customWidth="1"/>
    <col min="14852" max="14853" width="7.5703125" customWidth="1"/>
    <col min="14854" max="14854" width="11.7109375" customWidth="1"/>
    <col min="14855" max="14855" width="12.5703125" customWidth="1"/>
    <col min="14856" max="14856" width="12.7109375" customWidth="1"/>
    <col min="14858" max="14858" width="116" customWidth="1"/>
    <col min="15105" max="15105" width="3.140625" customWidth="1"/>
    <col min="15106" max="15106" width="13.28515625" customWidth="1"/>
    <col min="15107" max="15107" width="31.140625" customWidth="1"/>
    <col min="15108" max="15109" width="7.5703125" customWidth="1"/>
    <col min="15110" max="15110" width="11.7109375" customWidth="1"/>
    <col min="15111" max="15111" width="12.5703125" customWidth="1"/>
    <col min="15112" max="15112" width="12.7109375" customWidth="1"/>
    <col min="15114" max="15114" width="116" customWidth="1"/>
    <col min="15361" max="15361" width="3.140625" customWidth="1"/>
    <col min="15362" max="15362" width="13.28515625" customWidth="1"/>
    <col min="15363" max="15363" width="31.140625" customWidth="1"/>
    <col min="15364" max="15365" width="7.5703125" customWidth="1"/>
    <col min="15366" max="15366" width="11.7109375" customWidth="1"/>
    <col min="15367" max="15367" width="12.5703125" customWidth="1"/>
    <col min="15368" max="15368" width="12.7109375" customWidth="1"/>
    <col min="15370" max="15370" width="116" customWidth="1"/>
    <col min="15617" max="15617" width="3.140625" customWidth="1"/>
    <col min="15618" max="15618" width="13.28515625" customWidth="1"/>
    <col min="15619" max="15619" width="31.140625" customWidth="1"/>
    <col min="15620" max="15621" width="7.5703125" customWidth="1"/>
    <col min="15622" max="15622" width="11.7109375" customWidth="1"/>
    <col min="15623" max="15623" width="12.5703125" customWidth="1"/>
    <col min="15624" max="15624" width="12.7109375" customWidth="1"/>
    <col min="15626" max="15626" width="116" customWidth="1"/>
    <col min="15873" max="15873" width="3.140625" customWidth="1"/>
    <col min="15874" max="15874" width="13.28515625" customWidth="1"/>
    <col min="15875" max="15875" width="31.140625" customWidth="1"/>
    <col min="15876" max="15877" width="7.5703125" customWidth="1"/>
    <col min="15878" max="15878" width="11.7109375" customWidth="1"/>
    <col min="15879" max="15879" width="12.5703125" customWidth="1"/>
    <col min="15880" max="15880" width="12.7109375" customWidth="1"/>
    <col min="15882" max="15882" width="116" customWidth="1"/>
    <col min="16129" max="16129" width="3.140625" customWidth="1"/>
    <col min="16130" max="16130" width="13.28515625" customWidth="1"/>
    <col min="16131" max="16131" width="31.140625" customWidth="1"/>
    <col min="16132" max="16133" width="7.5703125" customWidth="1"/>
    <col min="16134" max="16134" width="11.7109375" customWidth="1"/>
    <col min="16135" max="16135" width="12.5703125" customWidth="1"/>
    <col min="16136" max="16136" width="12.7109375" customWidth="1"/>
    <col min="16138" max="16138" width="116" customWidth="1"/>
  </cols>
  <sheetData>
    <row r="1" spans="2:16" ht="13.5" thickBot="1" x14ac:dyDescent="0.25"/>
    <row r="2" spans="2:16" ht="16.5" thickBot="1" x14ac:dyDescent="0.25">
      <c r="C2" s="366" t="s">
        <v>303</v>
      </c>
    </row>
    <row r="3" spans="2:16" ht="13.5" thickBot="1" x14ac:dyDescent="0.25"/>
    <row r="4" spans="2:16" s="367" customFormat="1" ht="22.9" customHeight="1" thickBot="1" x14ac:dyDescent="0.3">
      <c r="C4" s="1046" t="s">
        <v>304</v>
      </c>
      <c r="D4" s="1047"/>
      <c r="E4" s="1047"/>
      <c r="F4" s="1047"/>
      <c r="G4" s="1047"/>
      <c r="H4" s="1048"/>
    </row>
    <row r="5" spans="2:16" ht="15" customHeight="1" thickBot="1" x14ac:dyDescent="0.25">
      <c r="C5" s="1049"/>
      <c r="D5" s="1050"/>
      <c r="E5" s="1050"/>
      <c r="F5" s="1050"/>
      <c r="G5" s="1050"/>
      <c r="H5" s="368"/>
      <c r="I5" s="369"/>
      <c r="J5" s="369"/>
      <c r="K5" s="369"/>
      <c r="L5" s="369"/>
      <c r="M5" s="369"/>
      <c r="N5" s="369"/>
      <c r="O5" s="369"/>
      <c r="P5" s="369"/>
    </row>
    <row r="6" spans="2:16" ht="45.75" thickBot="1" x14ac:dyDescent="0.25">
      <c r="C6" s="370"/>
      <c r="D6" s="371" t="s">
        <v>305</v>
      </c>
      <c r="E6" s="372" t="s">
        <v>227</v>
      </c>
      <c r="F6" s="373" t="s">
        <v>267</v>
      </c>
      <c r="G6" s="374" t="s">
        <v>306</v>
      </c>
      <c r="H6" s="999" t="s">
        <v>307</v>
      </c>
    </row>
    <row r="7" spans="2:16" ht="20.100000000000001" customHeight="1" thickBot="1" x14ac:dyDescent="0.25">
      <c r="B7" s="1051" t="s">
        <v>771</v>
      </c>
      <c r="C7" s="1054" t="s">
        <v>779</v>
      </c>
      <c r="D7" s="1055"/>
      <c r="E7" s="1055"/>
      <c r="F7" s="1055"/>
      <c r="G7" s="1055"/>
      <c r="H7" s="667"/>
    </row>
    <row r="8" spans="2:16" ht="20.100000000000001" customHeight="1" x14ac:dyDescent="0.2">
      <c r="B8" s="1052"/>
      <c r="C8" s="500" t="s">
        <v>309</v>
      </c>
      <c r="D8" s="382" t="s">
        <v>29</v>
      </c>
      <c r="E8" s="387"/>
      <c r="F8" s="388"/>
      <c r="G8" s="389"/>
      <c r="H8" s="390"/>
      <c r="J8" s="384"/>
    </row>
    <row r="9" spans="2:16" s="671" customFormat="1" ht="20.100000000000001" customHeight="1" x14ac:dyDescent="0.2">
      <c r="B9" s="1052"/>
      <c r="C9" s="500"/>
      <c r="D9" s="382"/>
      <c r="E9" s="387"/>
      <c r="F9" s="388"/>
      <c r="G9" s="389"/>
      <c r="H9" s="390"/>
      <c r="J9" s="384"/>
    </row>
    <row r="10" spans="2:16" s="671" customFormat="1" ht="20.100000000000001" customHeight="1" x14ac:dyDescent="0.2">
      <c r="B10" s="1052"/>
      <c r="C10" s="500"/>
      <c r="D10" s="382"/>
      <c r="E10" s="387"/>
      <c r="F10" s="388"/>
      <c r="G10" s="389"/>
      <c r="H10" s="390"/>
      <c r="J10" s="384"/>
    </row>
    <row r="11" spans="2:16" s="671" customFormat="1" ht="20.100000000000001" customHeight="1" x14ac:dyDescent="0.2">
      <c r="B11" s="1052"/>
      <c r="C11" s="500"/>
      <c r="D11" s="386"/>
      <c r="E11" s="387"/>
      <c r="F11" s="388"/>
      <c r="G11" s="389"/>
      <c r="H11" s="390"/>
      <c r="J11" s="384"/>
    </row>
    <row r="12" spans="2:16" ht="20.100000000000001" customHeight="1" x14ac:dyDescent="0.2">
      <c r="B12" s="1052"/>
      <c r="C12" s="562"/>
      <c r="D12" s="376"/>
      <c r="E12" s="511"/>
      <c r="F12" s="508"/>
      <c r="G12" s="509"/>
      <c r="H12" s="510"/>
      <c r="J12" s="528"/>
    </row>
    <row r="13" spans="2:16" s="671" customFormat="1" ht="20.100000000000001" customHeight="1" x14ac:dyDescent="0.2">
      <c r="B13" s="1052"/>
      <c r="C13" s="826" t="s">
        <v>310</v>
      </c>
      <c r="D13" s="376"/>
      <c r="E13" s="511"/>
      <c r="F13" s="508"/>
      <c r="G13" s="509"/>
      <c r="H13" s="510"/>
      <c r="J13" s="528"/>
    </row>
    <row r="14" spans="2:16" s="671" customFormat="1" ht="20.100000000000001" customHeight="1" x14ac:dyDescent="0.2">
      <c r="B14" s="1052"/>
      <c r="C14" s="562"/>
      <c r="D14" s="827" t="s">
        <v>308</v>
      </c>
      <c r="E14" s="511"/>
      <c r="F14" s="508"/>
      <c r="G14" s="509"/>
      <c r="H14" s="510"/>
      <c r="J14" s="528"/>
    </row>
    <row r="15" spans="2:16" s="671" customFormat="1" ht="20.100000000000001" customHeight="1" x14ac:dyDescent="0.2">
      <c r="B15" s="1052"/>
      <c r="C15" s="562"/>
      <c r="D15" s="376"/>
      <c r="E15" s="511"/>
      <c r="F15" s="508"/>
      <c r="G15" s="509"/>
      <c r="H15" s="510"/>
      <c r="J15" s="528"/>
    </row>
    <row r="16" spans="2:16" s="671" customFormat="1" ht="20.100000000000001" customHeight="1" x14ac:dyDescent="0.2">
      <c r="B16" s="1052"/>
      <c r="C16" s="562"/>
      <c r="D16" s="376"/>
      <c r="E16" s="511"/>
      <c r="F16" s="508"/>
      <c r="G16" s="509"/>
      <c r="H16" s="510"/>
      <c r="J16" s="528"/>
    </row>
    <row r="17" spans="2:10" s="671" customFormat="1" ht="20.100000000000001" customHeight="1" x14ac:dyDescent="0.2">
      <c r="B17" s="1052"/>
      <c r="C17" s="826" t="s">
        <v>311</v>
      </c>
      <c r="D17" s="376"/>
      <c r="E17" s="511"/>
      <c r="F17" s="508"/>
      <c r="G17" s="509"/>
      <c r="H17" s="510"/>
      <c r="J17" s="528"/>
    </row>
    <row r="18" spans="2:10" s="671" customFormat="1" ht="20.100000000000001" customHeight="1" x14ac:dyDescent="0.2">
      <c r="B18" s="1052"/>
      <c r="C18" s="826"/>
      <c r="D18" s="376"/>
      <c r="E18" s="511"/>
      <c r="F18" s="508"/>
      <c r="G18" s="509"/>
      <c r="H18" s="510"/>
      <c r="J18" s="528"/>
    </row>
    <row r="19" spans="2:10" s="671" customFormat="1" ht="20.100000000000001" customHeight="1" x14ac:dyDescent="0.2">
      <c r="B19" s="1052"/>
      <c r="C19" s="826"/>
      <c r="D19" s="376"/>
      <c r="E19" s="511"/>
      <c r="F19" s="508"/>
      <c r="G19" s="509"/>
      <c r="H19" s="510"/>
      <c r="J19" s="528"/>
    </row>
    <row r="20" spans="2:10" s="671" customFormat="1" ht="20.100000000000001" customHeight="1" x14ac:dyDescent="0.2">
      <c r="B20" s="1052"/>
      <c r="C20" s="826"/>
      <c r="D20" s="376"/>
      <c r="E20" s="511"/>
      <c r="F20" s="508"/>
      <c r="G20" s="509"/>
      <c r="H20" s="510"/>
      <c r="J20" s="528"/>
    </row>
    <row r="21" spans="2:10" s="671" customFormat="1" ht="20.100000000000001" customHeight="1" x14ac:dyDescent="0.2">
      <c r="B21" s="1052"/>
      <c r="C21" s="826" t="s">
        <v>616</v>
      </c>
      <c r="D21" s="376"/>
      <c r="E21" s="511"/>
      <c r="F21" s="508"/>
      <c r="G21" s="509"/>
      <c r="H21" s="510"/>
      <c r="J21" s="528"/>
    </row>
    <row r="22" spans="2:10" s="671" customFormat="1" ht="20.100000000000001" customHeight="1" x14ac:dyDescent="0.2">
      <c r="B22" s="1052"/>
      <c r="C22" s="1001" t="s">
        <v>770</v>
      </c>
      <c r="D22" s="827" t="s">
        <v>308</v>
      </c>
      <c r="E22" s="996">
        <v>1</v>
      </c>
      <c r="F22" s="996">
        <f>SEAU_Belin!D39</f>
        <v>431700</v>
      </c>
      <c r="G22" s="997">
        <f>SEAU_Belin!E39+SEAU_Belin!F39</f>
        <v>635396.30000000005</v>
      </c>
      <c r="H22" s="998">
        <f>F22+G22</f>
        <v>1067096.3</v>
      </c>
      <c r="J22" s="528"/>
    </row>
    <row r="23" spans="2:10" ht="20.100000000000001" customHeight="1" x14ac:dyDescent="0.2">
      <c r="B23" s="1052"/>
      <c r="C23" s="524"/>
      <c r="D23" s="386"/>
      <c r="E23" s="387"/>
      <c r="F23" s="388"/>
      <c r="G23" s="389"/>
      <c r="H23" s="390"/>
    </row>
    <row r="24" spans="2:10" ht="20.100000000000001" customHeight="1" thickBot="1" x14ac:dyDescent="0.25">
      <c r="B24" s="1052"/>
      <c r="C24" s="394"/>
      <c r="D24" s="502"/>
      <c r="E24" s="503"/>
      <c r="F24" s="504"/>
      <c r="G24" s="505"/>
      <c r="H24" s="506"/>
    </row>
    <row r="25" spans="2:10" ht="20.100000000000001" customHeight="1" thickBot="1" x14ac:dyDescent="0.25">
      <c r="B25" s="1053"/>
      <c r="C25" s="530" t="s">
        <v>102</v>
      </c>
      <c r="D25" s="591"/>
      <c r="E25" s="592"/>
      <c r="F25" s="593">
        <f>SUM(F8:F24)</f>
        <v>431700</v>
      </c>
      <c r="G25" s="594">
        <f>SUM(G8:G24)</f>
        <v>635396.30000000005</v>
      </c>
      <c r="H25" s="527">
        <f>SUM(H8:H24)</f>
        <v>1067096.3</v>
      </c>
    </row>
    <row r="26" spans="2:10" x14ac:dyDescent="0.2">
      <c r="B26" s="391"/>
    </row>
    <row r="27" spans="2:10" ht="13.5" thickBot="1" x14ac:dyDescent="0.25">
      <c r="B27" s="391"/>
    </row>
    <row r="28" spans="2:10" ht="21" customHeight="1" thickBot="1" x14ac:dyDescent="0.25">
      <c r="B28" s="391"/>
      <c r="C28" s="1046" t="s">
        <v>312</v>
      </c>
      <c r="D28" s="1047"/>
      <c r="E28" s="1047"/>
      <c r="F28" s="1047"/>
      <c r="G28" s="1047"/>
      <c r="H28" s="1048"/>
    </row>
    <row r="29" spans="2:10" ht="21.75" customHeight="1" thickBot="1" x14ac:dyDescent="0.25">
      <c r="B29" s="1056" t="s">
        <v>771</v>
      </c>
      <c r="C29" s="1054" t="s">
        <v>772</v>
      </c>
      <c r="D29" s="1055"/>
      <c r="E29" s="1055"/>
      <c r="F29" s="1055"/>
      <c r="G29" s="1055"/>
      <c r="H29" s="516"/>
    </row>
    <row r="30" spans="2:10" ht="32.25" customHeight="1" x14ac:dyDescent="0.2">
      <c r="B30" s="1057"/>
      <c r="C30" s="517"/>
      <c r="D30" s="518" t="s">
        <v>305</v>
      </c>
      <c r="E30" s="519" t="s">
        <v>227</v>
      </c>
      <c r="F30" s="507" t="s">
        <v>267</v>
      </c>
      <c r="G30" s="520" t="s">
        <v>306</v>
      </c>
      <c r="H30" s="521" t="s">
        <v>307</v>
      </c>
    </row>
    <row r="31" spans="2:10" ht="20.100000000000001" customHeight="1" x14ac:dyDescent="0.2">
      <c r="B31" s="1057"/>
      <c r="C31" s="500" t="s">
        <v>309</v>
      </c>
      <c r="D31" s="382"/>
      <c r="E31" s="383"/>
      <c r="F31" s="384"/>
      <c r="G31" s="385"/>
      <c r="H31" s="393"/>
    </row>
    <row r="32" spans="2:10" ht="20.100000000000001" customHeight="1" x14ac:dyDescent="0.2">
      <c r="B32" s="1057"/>
      <c r="C32" s="501"/>
      <c r="D32" s="382" t="s">
        <v>29</v>
      </c>
      <c r="E32" s="383">
        <v>0</v>
      </c>
      <c r="F32" s="384"/>
      <c r="G32" s="385"/>
      <c r="H32" s="393">
        <f>F32</f>
        <v>0</v>
      </c>
    </row>
    <row r="33" spans="2:11" ht="18" customHeight="1" x14ac:dyDescent="0.2">
      <c r="B33" s="1057"/>
      <c r="C33" s="381"/>
      <c r="D33" s="386"/>
      <c r="E33" s="387"/>
      <c r="F33" s="388"/>
      <c r="G33" s="389"/>
      <c r="H33" s="390"/>
    </row>
    <row r="34" spans="2:11" ht="20.100000000000001" customHeight="1" x14ac:dyDescent="0.2">
      <c r="B34" s="1057"/>
      <c r="C34" s="381"/>
      <c r="D34" s="382" t="s">
        <v>29</v>
      </c>
      <c r="E34" s="383"/>
      <c r="F34" s="384">
        <f>(0.4*('COND CANAL H=1-6 m'!Z73*0.4+'COND CANAL H=1-6 m'!AD73*0.6)+0.4*('COND CANAL H=1-6 m'!Z92*0.4+'COND CANAL H=1-6 m'!AD92*0.6)+0.2*('COND CANAL H=1-6 m'!Z111*0.4+'COND CANAL H=1-6 m'!AD111*0.6))*E34</f>
        <v>0</v>
      </c>
      <c r="G34" s="385"/>
      <c r="H34" s="393">
        <f>F34</f>
        <v>0</v>
      </c>
    </row>
    <row r="35" spans="2:11" ht="20.100000000000001" customHeight="1" x14ac:dyDescent="0.2">
      <c r="B35" s="1057"/>
      <c r="C35" s="500" t="s">
        <v>310</v>
      </c>
      <c r="D35" s="386"/>
      <c r="E35" s="387"/>
      <c r="F35" s="388"/>
      <c r="G35" s="389"/>
      <c r="H35" s="390"/>
    </row>
    <row r="36" spans="2:11" ht="25.5" customHeight="1" x14ac:dyDescent="0.2">
      <c r="B36" s="1057"/>
      <c r="C36" s="381"/>
      <c r="D36" s="382" t="s">
        <v>308</v>
      </c>
      <c r="E36" s="383"/>
      <c r="F36" s="384"/>
      <c r="G36" s="385"/>
      <c r="H36" s="393"/>
    </row>
    <row r="37" spans="2:11" ht="20.100000000000001" customHeight="1" x14ac:dyDescent="0.2">
      <c r="B37" s="1057"/>
      <c r="C37" s="381"/>
      <c r="D37" s="382"/>
      <c r="E37" s="383"/>
      <c r="F37" s="384"/>
      <c r="G37" s="385"/>
      <c r="H37" s="393"/>
    </row>
    <row r="38" spans="2:11" ht="20.100000000000001" customHeight="1" x14ac:dyDescent="0.2">
      <c r="B38" s="1057"/>
      <c r="C38" s="501"/>
      <c r="D38" s="382"/>
      <c r="E38" s="383"/>
      <c r="F38" s="384"/>
      <c r="G38" s="385"/>
      <c r="H38" s="393"/>
    </row>
    <row r="39" spans="2:11" ht="20.100000000000001" customHeight="1" x14ac:dyDescent="0.2">
      <c r="B39" s="1057"/>
      <c r="C39" s="522" t="s">
        <v>311</v>
      </c>
      <c r="D39" s="386"/>
      <c r="E39" s="387"/>
      <c r="F39" s="388"/>
      <c r="G39" s="389"/>
      <c r="H39" s="390"/>
    </row>
    <row r="40" spans="2:11" ht="24" customHeight="1" x14ac:dyDescent="0.2">
      <c r="B40" s="1057"/>
      <c r="C40" s="501"/>
      <c r="D40" s="382"/>
      <c r="E40" s="383"/>
      <c r="F40" s="384"/>
      <c r="G40" s="385"/>
      <c r="H40" s="393"/>
      <c r="I40" s="570"/>
      <c r="J40" s="666"/>
      <c r="K40" s="669"/>
    </row>
    <row r="41" spans="2:11" ht="21" customHeight="1" x14ac:dyDescent="0.2">
      <c r="B41" s="1057"/>
      <c r="C41" s="523"/>
      <c r="D41" s="382"/>
      <c r="E41" s="383"/>
      <c r="F41" s="384"/>
      <c r="G41" s="385"/>
      <c r="H41" s="393"/>
    </row>
    <row r="42" spans="2:11" ht="20.100000000000001" customHeight="1" x14ac:dyDescent="0.2">
      <c r="B42" s="1057"/>
      <c r="C42" s="523"/>
      <c r="D42" s="382"/>
      <c r="E42" s="383"/>
      <c r="F42" s="384"/>
      <c r="G42" s="389"/>
      <c r="H42" s="393"/>
    </row>
    <row r="43" spans="2:11" ht="20.100000000000001" customHeight="1" thickBot="1" x14ac:dyDescent="0.25">
      <c r="B43" s="1057"/>
      <c r="C43" s="696"/>
      <c r="D43" s="697"/>
      <c r="E43" s="378"/>
      <c r="F43" s="377"/>
      <c r="G43" s="379"/>
      <c r="H43" s="380"/>
    </row>
    <row r="44" spans="2:11" ht="20.100000000000001" customHeight="1" thickBot="1" x14ac:dyDescent="0.25">
      <c r="B44" s="1058"/>
      <c r="C44" s="530" t="s">
        <v>102</v>
      </c>
      <c r="D44" s="591"/>
      <c r="E44" s="592"/>
      <c r="F44" s="593">
        <f>SUM(F32:F43)</f>
        <v>0</v>
      </c>
      <c r="G44" s="594">
        <f>SUM(G32:G43)</f>
        <v>0</v>
      </c>
      <c r="H44" s="527">
        <f>SUM(H32:H43)</f>
        <v>0</v>
      </c>
    </row>
  </sheetData>
  <mergeCells count="7">
    <mergeCell ref="C4:H4"/>
    <mergeCell ref="C5:G5"/>
    <mergeCell ref="B7:B25"/>
    <mergeCell ref="C7:G7"/>
    <mergeCell ref="C29:G29"/>
    <mergeCell ref="C28:H28"/>
    <mergeCell ref="B29:B44"/>
  </mergeCells>
  <pageMargins left="0.7" right="0.7" top="0.75" bottom="0.75" header="0.3" footer="0.3"/>
  <pageSetup scale="7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5F599-A377-4EAD-9421-90174096DDB9}">
  <sheetPr>
    <tabColor theme="7" tint="0.59999389629810485"/>
  </sheetPr>
  <dimension ref="B1:O26"/>
  <sheetViews>
    <sheetView topLeftCell="B1" workbookViewId="0">
      <selection activeCell="L24" sqref="L24"/>
    </sheetView>
  </sheetViews>
  <sheetFormatPr defaultRowHeight="12.75" x14ac:dyDescent="0.2"/>
  <cols>
    <col min="2" max="2" width="59.42578125" customWidth="1"/>
    <col min="3" max="3" width="11.42578125" customWidth="1"/>
    <col min="4" max="4" width="9.85546875" customWidth="1"/>
    <col min="5" max="8" width="10.7109375" style="1" customWidth="1"/>
    <col min="10" max="10" width="13.28515625" customWidth="1"/>
    <col min="12" max="12" width="18.140625" customWidth="1"/>
    <col min="13" max="13" width="11.140625" customWidth="1"/>
    <col min="14" max="14" width="17.28515625" customWidth="1"/>
    <col min="15" max="15" width="12.28515625" customWidth="1"/>
    <col min="258" max="258" width="59.42578125" customWidth="1"/>
    <col min="260" max="260" width="9.85546875" customWidth="1"/>
    <col min="261" max="264" width="10.7109375" customWidth="1"/>
    <col min="268" max="268" width="12.85546875" customWidth="1"/>
    <col min="514" max="514" width="59.42578125" customWidth="1"/>
    <col min="516" max="516" width="9.85546875" customWidth="1"/>
    <col min="517" max="520" width="10.7109375" customWidth="1"/>
    <col min="524" max="524" width="12.85546875" customWidth="1"/>
    <col min="770" max="770" width="59.42578125" customWidth="1"/>
    <col min="772" max="772" width="9.85546875" customWidth="1"/>
    <col min="773" max="776" width="10.7109375" customWidth="1"/>
    <col min="780" max="780" width="12.85546875" customWidth="1"/>
    <col min="1026" max="1026" width="59.42578125" customWidth="1"/>
    <col min="1028" max="1028" width="9.85546875" customWidth="1"/>
    <col min="1029" max="1032" width="10.7109375" customWidth="1"/>
    <col min="1036" max="1036" width="12.85546875" customWidth="1"/>
    <col min="1282" max="1282" width="59.42578125" customWidth="1"/>
    <col min="1284" max="1284" width="9.85546875" customWidth="1"/>
    <col min="1285" max="1288" width="10.7109375" customWidth="1"/>
    <col min="1292" max="1292" width="12.85546875" customWidth="1"/>
    <col min="1538" max="1538" width="59.42578125" customWidth="1"/>
    <col min="1540" max="1540" width="9.85546875" customWidth="1"/>
    <col min="1541" max="1544" width="10.7109375" customWidth="1"/>
    <col min="1548" max="1548" width="12.85546875" customWidth="1"/>
    <col min="1794" max="1794" width="59.42578125" customWidth="1"/>
    <col min="1796" max="1796" width="9.85546875" customWidth="1"/>
    <col min="1797" max="1800" width="10.7109375" customWidth="1"/>
    <col min="1804" max="1804" width="12.85546875" customWidth="1"/>
    <col min="2050" max="2050" width="59.42578125" customWidth="1"/>
    <col min="2052" max="2052" width="9.85546875" customWidth="1"/>
    <col min="2053" max="2056" width="10.7109375" customWidth="1"/>
    <col min="2060" max="2060" width="12.85546875" customWidth="1"/>
    <col min="2306" max="2306" width="59.42578125" customWidth="1"/>
    <col min="2308" max="2308" width="9.85546875" customWidth="1"/>
    <col min="2309" max="2312" width="10.7109375" customWidth="1"/>
    <col min="2316" max="2316" width="12.85546875" customWidth="1"/>
    <col min="2562" max="2562" width="59.42578125" customWidth="1"/>
    <col min="2564" max="2564" width="9.85546875" customWidth="1"/>
    <col min="2565" max="2568" width="10.7109375" customWidth="1"/>
    <col min="2572" max="2572" width="12.85546875" customWidth="1"/>
    <col min="2818" max="2818" width="59.42578125" customWidth="1"/>
    <col min="2820" max="2820" width="9.85546875" customWidth="1"/>
    <col min="2821" max="2824" width="10.7109375" customWidth="1"/>
    <col min="2828" max="2828" width="12.85546875" customWidth="1"/>
    <col min="3074" max="3074" width="59.42578125" customWidth="1"/>
    <col min="3076" max="3076" width="9.85546875" customWidth="1"/>
    <col min="3077" max="3080" width="10.7109375" customWidth="1"/>
    <col min="3084" max="3084" width="12.85546875" customWidth="1"/>
    <col min="3330" max="3330" width="59.42578125" customWidth="1"/>
    <col min="3332" max="3332" width="9.85546875" customWidth="1"/>
    <col min="3333" max="3336" width="10.7109375" customWidth="1"/>
    <col min="3340" max="3340" width="12.85546875" customWidth="1"/>
    <col min="3586" max="3586" width="59.42578125" customWidth="1"/>
    <col min="3588" max="3588" width="9.85546875" customWidth="1"/>
    <col min="3589" max="3592" width="10.7109375" customWidth="1"/>
    <col min="3596" max="3596" width="12.85546875" customWidth="1"/>
    <col min="3842" max="3842" width="59.42578125" customWidth="1"/>
    <col min="3844" max="3844" width="9.85546875" customWidth="1"/>
    <col min="3845" max="3848" width="10.7109375" customWidth="1"/>
    <col min="3852" max="3852" width="12.85546875" customWidth="1"/>
    <col min="4098" max="4098" width="59.42578125" customWidth="1"/>
    <col min="4100" max="4100" width="9.85546875" customWidth="1"/>
    <col min="4101" max="4104" width="10.7109375" customWidth="1"/>
    <col min="4108" max="4108" width="12.85546875" customWidth="1"/>
    <col min="4354" max="4354" width="59.42578125" customWidth="1"/>
    <col min="4356" max="4356" width="9.85546875" customWidth="1"/>
    <col min="4357" max="4360" width="10.7109375" customWidth="1"/>
    <col min="4364" max="4364" width="12.85546875" customWidth="1"/>
    <col min="4610" max="4610" width="59.42578125" customWidth="1"/>
    <col min="4612" max="4612" width="9.85546875" customWidth="1"/>
    <col min="4613" max="4616" width="10.7109375" customWidth="1"/>
    <col min="4620" max="4620" width="12.85546875" customWidth="1"/>
    <col min="4866" max="4866" width="59.42578125" customWidth="1"/>
    <col min="4868" max="4868" width="9.85546875" customWidth="1"/>
    <col min="4869" max="4872" width="10.7109375" customWidth="1"/>
    <col min="4876" max="4876" width="12.85546875" customWidth="1"/>
    <col min="5122" max="5122" width="59.42578125" customWidth="1"/>
    <col min="5124" max="5124" width="9.85546875" customWidth="1"/>
    <col min="5125" max="5128" width="10.7109375" customWidth="1"/>
    <col min="5132" max="5132" width="12.85546875" customWidth="1"/>
    <col min="5378" max="5378" width="59.42578125" customWidth="1"/>
    <col min="5380" max="5380" width="9.85546875" customWidth="1"/>
    <col min="5381" max="5384" width="10.7109375" customWidth="1"/>
    <col min="5388" max="5388" width="12.85546875" customWidth="1"/>
    <col min="5634" max="5634" width="59.42578125" customWidth="1"/>
    <col min="5636" max="5636" width="9.85546875" customWidth="1"/>
    <col min="5637" max="5640" width="10.7109375" customWidth="1"/>
    <col min="5644" max="5644" width="12.85546875" customWidth="1"/>
    <col min="5890" max="5890" width="59.42578125" customWidth="1"/>
    <col min="5892" max="5892" width="9.85546875" customWidth="1"/>
    <col min="5893" max="5896" width="10.7109375" customWidth="1"/>
    <col min="5900" max="5900" width="12.85546875" customWidth="1"/>
    <col min="6146" max="6146" width="59.42578125" customWidth="1"/>
    <col min="6148" max="6148" width="9.85546875" customWidth="1"/>
    <col min="6149" max="6152" width="10.7109375" customWidth="1"/>
    <col min="6156" max="6156" width="12.85546875" customWidth="1"/>
    <col min="6402" max="6402" width="59.42578125" customWidth="1"/>
    <col min="6404" max="6404" width="9.85546875" customWidth="1"/>
    <col min="6405" max="6408" width="10.7109375" customWidth="1"/>
    <col min="6412" max="6412" width="12.85546875" customWidth="1"/>
    <col min="6658" max="6658" width="59.42578125" customWidth="1"/>
    <col min="6660" max="6660" width="9.85546875" customWidth="1"/>
    <col min="6661" max="6664" width="10.7109375" customWidth="1"/>
    <col min="6668" max="6668" width="12.85546875" customWidth="1"/>
    <col min="6914" max="6914" width="59.42578125" customWidth="1"/>
    <col min="6916" max="6916" width="9.85546875" customWidth="1"/>
    <col min="6917" max="6920" width="10.7109375" customWidth="1"/>
    <col min="6924" max="6924" width="12.85546875" customWidth="1"/>
    <col min="7170" max="7170" width="59.42578125" customWidth="1"/>
    <col min="7172" max="7172" width="9.85546875" customWidth="1"/>
    <col min="7173" max="7176" width="10.7109375" customWidth="1"/>
    <col min="7180" max="7180" width="12.85546875" customWidth="1"/>
    <col min="7426" max="7426" width="59.42578125" customWidth="1"/>
    <col min="7428" max="7428" width="9.85546875" customWidth="1"/>
    <col min="7429" max="7432" width="10.7109375" customWidth="1"/>
    <col min="7436" max="7436" width="12.85546875" customWidth="1"/>
    <col min="7682" max="7682" width="59.42578125" customWidth="1"/>
    <col min="7684" max="7684" width="9.85546875" customWidth="1"/>
    <col min="7685" max="7688" width="10.7109375" customWidth="1"/>
    <col min="7692" max="7692" width="12.85546875" customWidth="1"/>
    <col min="7938" max="7938" width="59.42578125" customWidth="1"/>
    <col min="7940" max="7940" width="9.85546875" customWidth="1"/>
    <col min="7941" max="7944" width="10.7109375" customWidth="1"/>
    <col min="7948" max="7948" width="12.85546875" customWidth="1"/>
    <col min="8194" max="8194" width="59.42578125" customWidth="1"/>
    <col min="8196" max="8196" width="9.85546875" customWidth="1"/>
    <col min="8197" max="8200" width="10.7109375" customWidth="1"/>
    <col min="8204" max="8204" width="12.85546875" customWidth="1"/>
    <col min="8450" max="8450" width="59.42578125" customWidth="1"/>
    <col min="8452" max="8452" width="9.85546875" customWidth="1"/>
    <col min="8453" max="8456" width="10.7109375" customWidth="1"/>
    <col min="8460" max="8460" width="12.85546875" customWidth="1"/>
    <col min="8706" max="8706" width="59.42578125" customWidth="1"/>
    <col min="8708" max="8708" width="9.85546875" customWidth="1"/>
    <col min="8709" max="8712" width="10.7109375" customWidth="1"/>
    <col min="8716" max="8716" width="12.85546875" customWidth="1"/>
    <col min="8962" max="8962" width="59.42578125" customWidth="1"/>
    <col min="8964" max="8964" width="9.85546875" customWidth="1"/>
    <col min="8965" max="8968" width="10.7109375" customWidth="1"/>
    <col min="8972" max="8972" width="12.85546875" customWidth="1"/>
    <col min="9218" max="9218" width="59.42578125" customWidth="1"/>
    <col min="9220" max="9220" width="9.85546875" customWidth="1"/>
    <col min="9221" max="9224" width="10.7109375" customWidth="1"/>
    <col min="9228" max="9228" width="12.85546875" customWidth="1"/>
    <col min="9474" max="9474" width="59.42578125" customWidth="1"/>
    <col min="9476" max="9476" width="9.85546875" customWidth="1"/>
    <col min="9477" max="9480" width="10.7109375" customWidth="1"/>
    <col min="9484" max="9484" width="12.85546875" customWidth="1"/>
    <col min="9730" max="9730" width="59.42578125" customWidth="1"/>
    <col min="9732" max="9732" width="9.85546875" customWidth="1"/>
    <col min="9733" max="9736" width="10.7109375" customWidth="1"/>
    <col min="9740" max="9740" width="12.85546875" customWidth="1"/>
    <col min="9986" max="9986" width="59.42578125" customWidth="1"/>
    <col min="9988" max="9988" width="9.85546875" customWidth="1"/>
    <col min="9989" max="9992" width="10.7109375" customWidth="1"/>
    <col min="9996" max="9996" width="12.85546875" customWidth="1"/>
    <col min="10242" max="10242" width="59.42578125" customWidth="1"/>
    <col min="10244" max="10244" width="9.85546875" customWidth="1"/>
    <col min="10245" max="10248" width="10.7109375" customWidth="1"/>
    <col min="10252" max="10252" width="12.85546875" customWidth="1"/>
    <col min="10498" max="10498" width="59.42578125" customWidth="1"/>
    <col min="10500" max="10500" width="9.85546875" customWidth="1"/>
    <col min="10501" max="10504" width="10.7109375" customWidth="1"/>
    <col min="10508" max="10508" width="12.85546875" customWidth="1"/>
    <col min="10754" max="10754" width="59.42578125" customWidth="1"/>
    <col min="10756" max="10756" width="9.85546875" customWidth="1"/>
    <col min="10757" max="10760" width="10.7109375" customWidth="1"/>
    <col min="10764" max="10764" width="12.85546875" customWidth="1"/>
    <col min="11010" max="11010" width="59.42578125" customWidth="1"/>
    <col min="11012" max="11012" width="9.85546875" customWidth="1"/>
    <col min="11013" max="11016" width="10.7109375" customWidth="1"/>
    <col min="11020" max="11020" width="12.85546875" customWidth="1"/>
    <col min="11266" max="11266" width="59.42578125" customWidth="1"/>
    <col min="11268" max="11268" width="9.85546875" customWidth="1"/>
    <col min="11269" max="11272" width="10.7109375" customWidth="1"/>
    <col min="11276" max="11276" width="12.85546875" customWidth="1"/>
    <col min="11522" max="11522" width="59.42578125" customWidth="1"/>
    <col min="11524" max="11524" width="9.85546875" customWidth="1"/>
    <col min="11525" max="11528" width="10.7109375" customWidth="1"/>
    <col min="11532" max="11532" width="12.85546875" customWidth="1"/>
    <col min="11778" max="11778" width="59.42578125" customWidth="1"/>
    <col min="11780" max="11780" width="9.85546875" customWidth="1"/>
    <col min="11781" max="11784" width="10.7109375" customWidth="1"/>
    <col min="11788" max="11788" width="12.85546875" customWidth="1"/>
    <col min="12034" max="12034" width="59.42578125" customWidth="1"/>
    <col min="12036" max="12036" width="9.85546875" customWidth="1"/>
    <col min="12037" max="12040" width="10.7109375" customWidth="1"/>
    <col min="12044" max="12044" width="12.85546875" customWidth="1"/>
    <col min="12290" max="12290" width="59.42578125" customWidth="1"/>
    <col min="12292" max="12292" width="9.85546875" customWidth="1"/>
    <col min="12293" max="12296" width="10.7109375" customWidth="1"/>
    <col min="12300" max="12300" width="12.85546875" customWidth="1"/>
    <col min="12546" max="12546" width="59.42578125" customWidth="1"/>
    <col min="12548" max="12548" width="9.85546875" customWidth="1"/>
    <col min="12549" max="12552" width="10.7109375" customWidth="1"/>
    <col min="12556" max="12556" width="12.85546875" customWidth="1"/>
    <col min="12802" max="12802" width="59.42578125" customWidth="1"/>
    <col min="12804" max="12804" width="9.85546875" customWidth="1"/>
    <col min="12805" max="12808" width="10.7109375" customWidth="1"/>
    <col min="12812" max="12812" width="12.85546875" customWidth="1"/>
    <col min="13058" max="13058" width="59.42578125" customWidth="1"/>
    <col min="13060" max="13060" width="9.85546875" customWidth="1"/>
    <col min="13061" max="13064" width="10.7109375" customWidth="1"/>
    <col min="13068" max="13068" width="12.85546875" customWidth="1"/>
    <col min="13314" max="13314" width="59.42578125" customWidth="1"/>
    <col min="13316" max="13316" width="9.85546875" customWidth="1"/>
    <col min="13317" max="13320" width="10.7109375" customWidth="1"/>
    <col min="13324" max="13324" width="12.85546875" customWidth="1"/>
    <col min="13570" max="13570" width="59.42578125" customWidth="1"/>
    <col min="13572" max="13572" width="9.85546875" customWidth="1"/>
    <col min="13573" max="13576" width="10.7109375" customWidth="1"/>
    <col min="13580" max="13580" width="12.85546875" customWidth="1"/>
    <col min="13826" max="13826" width="59.42578125" customWidth="1"/>
    <col min="13828" max="13828" width="9.85546875" customWidth="1"/>
    <col min="13829" max="13832" width="10.7109375" customWidth="1"/>
    <col min="13836" max="13836" width="12.85546875" customWidth="1"/>
    <col min="14082" max="14082" width="59.42578125" customWidth="1"/>
    <col min="14084" max="14084" width="9.85546875" customWidth="1"/>
    <col min="14085" max="14088" width="10.7109375" customWidth="1"/>
    <col min="14092" max="14092" width="12.85546875" customWidth="1"/>
    <col min="14338" max="14338" width="59.42578125" customWidth="1"/>
    <col min="14340" max="14340" width="9.85546875" customWidth="1"/>
    <col min="14341" max="14344" width="10.7109375" customWidth="1"/>
    <col min="14348" max="14348" width="12.85546875" customWidth="1"/>
    <col min="14594" max="14594" width="59.42578125" customWidth="1"/>
    <col min="14596" max="14596" width="9.85546875" customWidth="1"/>
    <col min="14597" max="14600" width="10.7109375" customWidth="1"/>
    <col min="14604" max="14604" width="12.85546875" customWidth="1"/>
    <col min="14850" max="14850" width="59.42578125" customWidth="1"/>
    <col min="14852" max="14852" width="9.85546875" customWidth="1"/>
    <col min="14853" max="14856" width="10.7109375" customWidth="1"/>
    <col min="14860" max="14860" width="12.85546875" customWidth="1"/>
    <col min="15106" max="15106" width="59.42578125" customWidth="1"/>
    <col min="15108" max="15108" width="9.85546875" customWidth="1"/>
    <col min="15109" max="15112" width="10.7109375" customWidth="1"/>
    <col min="15116" max="15116" width="12.85546875" customWidth="1"/>
    <col min="15362" max="15362" width="59.42578125" customWidth="1"/>
    <col min="15364" max="15364" width="9.85546875" customWidth="1"/>
    <col min="15365" max="15368" width="10.7109375" customWidth="1"/>
    <col min="15372" max="15372" width="12.85546875" customWidth="1"/>
    <col min="15618" max="15618" width="59.42578125" customWidth="1"/>
    <col min="15620" max="15620" width="9.85546875" customWidth="1"/>
    <col min="15621" max="15624" width="10.7109375" customWidth="1"/>
    <col min="15628" max="15628" width="12.85546875" customWidth="1"/>
    <col min="15874" max="15874" width="59.42578125" customWidth="1"/>
    <col min="15876" max="15876" width="9.85546875" customWidth="1"/>
    <col min="15877" max="15880" width="10.7109375" customWidth="1"/>
    <col min="15884" max="15884" width="12.85546875" customWidth="1"/>
    <col min="16130" max="16130" width="59.42578125" customWidth="1"/>
    <col min="16132" max="16132" width="9.85546875" customWidth="1"/>
    <col min="16133" max="16136" width="10.7109375" customWidth="1"/>
    <col min="16140" max="16140" width="12.85546875" customWidth="1"/>
  </cols>
  <sheetData>
    <row r="1" spans="2:15" ht="13.5" thickBot="1" x14ac:dyDescent="0.25"/>
    <row r="2" spans="2:15" ht="16.5" thickBot="1" x14ac:dyDescent="0.3">
      <c r="B2" s="400" t="s">
        <v>314</v>
      </c>
    </row>
    <row r="3" spans="2:15" ht="13.5" thickBot="1" x14ac:dyDescent="0.25">
      <c r="F3" s="563"/>
      <c r="G3" s="563"/>
      <c r="H3" s="563"/>
      <c r="N3" s="563"/>
      <c r="O3" s="565" t="s">
        <v>399</v>
      </c>
    </row>
    <row r="4" spans="2:15" ht="15" x14ac:dyDescent="0.25">
      <c r="B4" s="401" t="s">
        <v>213</v>
      </c>
      <c r="C4" s="402"/>
      <c r="D4" s="403"/>
      <c r="F4" s="566" t="s">
        <v>400</v>
      </c>
      <c r="G4" s="563"/>
      <c r="H4" s="563"/>
      <c r="N4" s="567" t="s">
        <v>401</v>
      </c>
      <c r="O4" s="565">
        <v>0.6</v>
      </c>
    </row>
    <row r="5" spans="2:15" ht="13.5" thickBot="1" x14ac:dyDescent="0.25">
      <c r="B5" s="404" t="s">
        <v>315</v>
      </c>
      <c r="C5" s="5"/>
      <c r="D5" s="405"/>
      <c r="F5" s="568" t="s">
        <v>402</v>
      </c>
      <c r="G5" s="569"/>
      <c r="H5" s="569"/>
      <c r="I5" s="570"/>
      <c r="O5" s="565">
        <v>102</v>
      </c>
    </row>
    <row r="6" spans="2:15" ht="45.75" thickBot="1" x14ac:dyDescent="0.25">
      <c r="B6" s="406"/>
      <c r="C6" s="407" t="s">
        <v>420</v>
      </c>
      <c r="D6" s="408" t="s">
        <v>316</v>
      </c>
      <c r="F6" s="1106" t="s">
        <v>310</v>
      </c>
      <c r="G6" s="1108" t="s">
        <v>403</v>
      </c>
      <c r="H6" s="1108"/>
      <c r="I6" s="571" t="s">
        <v>404</v>
      </c>
      <c r="J6" s="572" t="s">
        <v>405</v>
      </c>
      <c r="K6" s="571" t="s">
        <v>406</v>
      </c>
      <c r="L6" s="571" t="s">
        <v>407</v>
      </c>
      <c r="M6" s="571" t="s">
        <v>408</v>
      </c>
      <c r="N6" s="572" t="s">
        <v>409</v>
      </c>
      <c r="O6" s="572" t="s">
        <v>410</v>
      </c>
    </row>
    <row r="7" spans="2:15" ht="20.100000000000001" customHeight="1" thickBot="1" x14ac:dyDescent="0.25">
      <c r="B7" s="552" t="s">
        <v>617</v>
      </c>
      <c r="C7" s="553">
        <f>EE_Belin!G67</f>
        <v>58.134000000000015</v>
      </c>
      <c r="D7" s="554">
        <f>EE_Belin!K67</f>
        <v>230967.91739957494</v>
      </c>
      <c r="F7" s="1107"/>
      <c r="G7" s="573" t="s">
        <v>411</v>
      </c>
      <c r="H7" s="573" t="s">
        <v>412</v>
      </c>
      <c r="I7" s="573" t="s">
        <v>413</v>
      </c>
      <c r="J7" s="573" t="s">
        <v>414</v>
      </c>
      <c r="K7" s="574" t="s">
        <v>411</v>
      </c>
      <c r="L7" s="574" t="s">
        <v>411</v>
      </c>
      <c r="M7" s="573" t="s">
        <v>415</v>
      </c>
      <c r="N7" s="573" t="s">
        <v>416</v>
      </c>
      <c r="O7" s="573" t="s">
        <v>417</v>
      </c>
    </row>
    <row r="8" spans="2:15" ht="20.100000000000001" customHeight="1" thickBot="1" x14ac:dyDescent="0.25">
      <c r="B8" s="555"/>
      <c r="C8" s="556"/>
      <c r="D8" s="557"/>
      <c r="F8" s="581" t="s">
        <v>418</v>
      </c>
      <c r="G8" s="828">
        <v>13.4</v>
      </c>
      <c r="H8" s="582">
        <f>G8*3.6*24</f>
        <v>1157.76</v>
      </c>
      <c r="I8" s="828">
        <v>53</v>
      </c>
      <c r="J8" s="586">
        <f t="shared" ref="J8:J20" si="0">G8*I8/$O$5/$O$4</f>
        <v>11.604575163398694</v>
      </c>
      <c r="K8" s="587">
        <f>'Volume de apa'!C12</f>
        <v>4.99</v>
      </c>
      <c r="L8" s="587">
        <f>G8</f>
        <v>13.4</v>
      </c>
      <c r="M8" s="587">
        <f>K8*365</f>
        <v>1821.3500000000001</v>
      </c>
      <c r="N8" s="587">
        <f>K8/L8*24</f>
        <v>8.9373134328358201</v>
      </c>
      <c r="O8" s="599">
        <f>J8*N8*365</f>
        <v>37855.509803921574</v>
      </c>
    </row>
    <row r="9" spans="2:15" ht="20.100000000000001" customHeight="1" x14ac:dyDescent="0.25">
      <c r="B9" s="411"/>
      <c r="C9" s="409"/>
      <c r="D9" s="410"/>
      <c r="F9" s="575" t="s">
        <v>419</v>
      </c>
      <c r="G9" s="828">
        <v>0</v>
      </c>
      <c r="H9" s="582">
        <f t="shared" ref="H9:H20" si="1">G9*3.6*24</f>
        <v>0</v>
      </c>
      <c r="I9" s="828">
        <v>0</v>
      </c>
      <c r="J9" s="588">
        <f t="shared" si="0"/>
        <v>0</v>
      </c>
      <c r="K9" s="587">
        <f>'Volume de apa'!C13</f>
        <v>4.99</v>
      </c>
      <c r="L9" s="587">
        <f>G9</f>
        <v>0</v>
      </c>
      <c r="M9" s="587">
        <f t="shared" ref="M9:M20" si="2">K9*365</f>
        <v>1821.3500000000001</v>
      </c>
      <c r="N9" s="587" t="e">
        <f t="shared" ref="N9" si="3">K9/L9*24</f>
        <v>#DIV/0!</v>
      </c>
      <c r="O9" s="587" t="e">
        <f>J9*N9*365</f>
        <v>#DIV/0!</v>
      </c>
    </row>
    <row r="10" spans="2:15" ht="20.100000000000001" customHeight="1" x14ac:dyDescent="0.2">
      <c r="B10" s="501"/>
      <c r="C10" s="584"/>
      <c r="D10" s="585"/>
      <c r="F10" s="575"/>
      <c r="G10" s="582"/>
      <c r="H10" s="582"/>
      <c r="I10" s="583"/>
      <c r="J10" s="588"/>
      <c r="K10" s="587"/>
      <c r="L10" s="587"/>
      <c r="M10" s="587"/>
      <c r="N10" s="587"/>
      <c r="O10" s="587"/>
    </row>
    <row r="11" spans="2:15" ht="20.100000000000001" customHeight="1" thickBot="1" x14ac:dyDescent="0.25">
      <c r="B11" s="501"/>
      <c r="C11" s="584"/>
      <c r="D11" s="585"/>
      <c r="F11" s="575"/>
      <c r="G11" s="150"/>
      <c r="H11" s="576">
        <f t="shared" si="1"/>
        <v>0</v>
      </c>
      <c r="I11" s="577"/>
      <c r="J11" s="578">
        <f t="shared" si="0"/>
        <v>0</v>
      </c>
      <c r="K11" s="579"/>
      <c r="L11" s="579"/>
      <c r="M11" s="579">
        <f t="shared" si="2"/>
        <v>0</v>
      </c>
      <c r="N11" s="580" t="e">
        <f t="shared" ref="N11:N20" si="4">M11/H11</f>
        <v>#DIV/0!</v>
      </c>
      <c r="O11" s="580" t="e">
        <f t="shared" ref="O11:O20" si="5">J11*N11</f>
        <v>#DIV/0!</v>
      </c>
    </row>
    <row r="12" spans="2:15" s="276" customFormat="1" ht="20.100000000000001" customHeight="1" thickBot="1" x14ac:dyDescent="0.3">
      <c r="B12" s="414" t="s">
        <v>102</v>
      </c>
      <c r="C12" s="415">
        <f>SUM(C7:C11)</f>
        <v>58.134000000000015</v>
      </c>
      <c r="D12" s="416">
        <f>SUM(D7:D11)</f>
        <v>230967.91739957494</v>
      </c>
      <c r="E12" s="1"/>
      <c r="F12" s="575"/>
      <c r="G12" s="150"/>
      <c r="H12" s="576">
        <f t="shared" si="1"/>
        <v>0</v>
      </c>
      <c r="I12" s="577"/>
      <c r="J12" s="578">
        <f t="shared" si="0"/>
        <v>0</v>
      </c>
      <c r="K12" s="579"/>
      <c r="L12" s="579"/>
      <c r="M12" s="579">
        <f t="shared" si="2"/>
        <v>0</v>
      </c>
      <c r="N12" s="580" t="e">
        <f t="shared" si="4"/>
        <v>#DIV/0!</v>
      </c>
      <c r="O12" s="580" t="e">
        <f t="shared" si="5"/>
        <v>#DIV/0!</v>
      </c>
    </row>
    <row r="13" spans="2:15" x14ac:dyDescent="0.2">
      <c r="F13" s="575"/>
      <c r="G13" s="150"/>
      <c r="H13" s="576">
        <f t="shared" si="1"/>
        <v>0</v>
      </c>
      <c r="I13" s="577"/>
      <c r="J13" s="578">
        <f t="shared" si="0"/>
        <v>0</v>
      </c>
      <c r="K13" s="579"/>
      <c r="L13" s="579"/>
      <c r="M13" s="579">
        <f t="shared" si="2"/>
        <v>0</v>
      </c>
      <c r="N13" s="580" t="e">
        <f t="shared" si="4"/>
        <v>#DIV/0!</v>
      </c>
      <c r="O13" s="580" t="e">
        <f t="shared" si="5"/>
        <v>#DIV/0!</v>
      </c>
    </row>
    <row r="14" spans="2:15" ht="13.5" thickBot="1" x14ac:dyDescent="0.25">
      <c r="F14" s="575"/>
      <c r="G14" s="150"/>
      <c r="H14" s="576">
        <f t="shared" si="1"/>
        <v>0</v>
      </c>
      <c r="I14" s="577"/>
      <c r="J14" s="578">
        <f t="shared" si="0"/>
        <v>0</v>
      </c>
      <c r="K14" s="579"/>
      <c r="L14" s="579"/>
      <c r="M14" s="579">
        <f t="shared" si="2"/>
        <v>0</v>
      </c>
      <c r="N14" s="580" t="e">
        <f t="shared" si="4"/>
        <v>#DIV/0!</v>
      </c>
      <c r="O14" s="580" t="e">
        <f t="shared" si="5"/>
        <v>#DIV/0!</v>
      </c>
    </row>
    <row r="15" spans="2:15" ht="15" x14ac:dyDescent="0.25">
      <c r="B15" s="401" t="s">
        <v>214</v>
      </c>
      <c r="C15" s="402"/>
      <c r="D15" s="403"/>
      <c r="F15" s="575"/>
      <c r="G15" s="150"/>
      <c r="H15" s="576">
        <f t="shared" si="1"/>
        <v>0</v>
      </c>
      <c r="I15" s="577"/>
      <c r="J15" s="578">
        <f t="shared" si="0"/>
        <v>0</v>
      </c>
      <c r="K15" s="579"/>
      <c r="L15" s="579"/>
      <c r="M15" s="579">
        <f t="shared" si="2"/>
        <v>0</v>
      </c>
      <c r="N15" s="580" t="e">
        <f t="shared" si="4"/>
        <v>#DIV/0!</v>
      </c>
      <c r="O15" s="580" t="e">
        <f t="shared" si="5"/>
        <v>#DIV/0!</v>
      </c>
    </row>
    <row r="16" spans="2:15" x14ac:dyDescent="0.2">
      <c r="B16" s="404" t="s">
        <v>317</v>
      </c>
      <c r="C16" s="5"/>
      <c r="D16" s="405"/>
      <c r="F16" s="575"/>
      <c r="G16" s="150"/>
      <c r="H16" s="576">
        <f t="shared" si="1"/>
        <v>0</v>
      </c>
      <c r="I16" s="577"/>
      <c r="J16" s="578">
        <f t="shared" si="0"/>
        <v>0</v>
      </c>
      <c r="K16" s="579"/>
      <c r="L16" s="579"/>
      <c r="M16" s="579">
        <f t="shared" si="2"/>
        <v>0</v>
      </c>
      <c r="N16" s="580" t="e">
        <f t="shared" si="4"/>
        <v>#DIV/0!</v>
      </c>
      <c r="O16" s="580" t="e">
        <f t="shared" si="5"/>
        <v>#DIV/0!</v>
      </c>
    </row>
    <row r="17" spans="2:15" ht="45.75" thickBot="1" x14ac:dyDescent="0.25">
      <c r="B17" s="406"/>
      <c r="C17" s="407" t="s">
        <v>420</v>
      </c>
      <c r="D17" s="408" t="s">
        <v>316</v>
      </c>
      <c r="F17" s="575"/>
      <c r="G17" s="150"/>
      <c r="H17" s="576">
        <f t="shared" si="1"/>
        <v>0</v>
      </c>
      <c r="I17" s="577"/>
      <c r="J17" s="578">
        <f t="shared" si="0"/>
        <v>0</v>
      </c>
      <c r="K17" s="579"/>
      <c r="L17" s="579"/>
      <c r="M17" s="579">
        <f t="shared" si="2"/>
        <v>0</v>
      </c>
      <c r="N17" s="580" t="e">
        <f t="shared" si="4"/>
        <v>#DIV/0!</v>
      </c>
      <c r="O17" s="580" t="e">
        <f t="shared" si="5"/>
        <v>#DIV/0!</v>
      </c>
    </row>
    <row r="18" spans="2:15" ht="20.100000000000001" customHeight="1" x14ac:dyDescent="0.2">
      <c r="B18" s="412"/>
      <c r="C18" s="375"/>
      <c r="D18" s="413"/>
      <c r="F18" s="575"/>
      <c r="G18" s="150"/>
      <c r="H18" s="576">
        <f t="shared" si="1"/>
        <v>0</v>
      </c>
      <c r="I18" s="577"/>
      <c r="J18" s="578">
        <f t="shared" si="0"/>
        <v>0</v>
      </c>
      <c r="K18" s="579"/>
      <c r="L18" s="579"/>
      <c r="M18" s="579">
        <f t="shared" si="2"/>
        <v>0</v>
      </c>
      <c r="N18" s="580" t="e">
        <f t="shared" si="4"/>
        <v>#DIV/0!</v>
      </c>
      <c r="O18" s="580" t="e">
        <f t="shared" si="5"/>
        <v>#DIV/0!</v>
      </c>
    </row>
    <row r="19" spans="2:15" ht="20.100000000000001" customHeight="1" x14ac:dyDescent="0.2">
      <c r="B19" s="501" t="s">
        <v>422</v>
      </c>
      <c r="C19" s="829">
        <f>J8</f>
        <v>11.604575163398694</v>
      </c>
      <c r="D19" s="830">
        <f>O8</f>
        <v>37855.509803921574</v>
      </c>
      <c r="F19" s="575"/>
      <c r="G19" s="150"/>
      <c r="H19" s="576">
        <f t="shared" si="1"/>
        <v>0</v>
      </c>
      <c r="I19" s="577"/>
      <c r="J19" s="578">
        <f t="shared" si="0"/>
        <v>0</v>
      </c>
      <c r="K19" s="579"/>
      <c r="L19" s="579"/>
      <c r="M19" s="579">
        <f t="shared" si="2"/>
        <v>0</v>
      </c>
      <c r="N19" s="580" t="e">
        <f t="shared" si="4"/>
        <v>#DIV/0!</v>
      </c>
      <c r="O19" s="580" t="e">
        <f t="shared" si="5"/>
        <v>#DIV/0!</v>
      </c>
    </row>
    <row r="20" spans="2:15" ht="20.100000000000001" customHeight="1" x14ac:dyDescent="0.2">
      <c r="B20" s="597" t="s">
        <v>618</v>
      </c>
      <c r="C20" s="829">
        <v>0</v>
      </c>
      <c r="D20" s="1130">
        <v>0</v>
      </c>
      <c r="F20" s="575"/>
      <c r="G20" s="150"/>
      <c r="H20" s="576">
        <f t="shared" si="1"/>
        <v>0</v>
      </c>
      <c r="I20" s="577"/>
      <c r="J20" s="578">
        <f t="shared" si="0"/>
        <v>0</v>
      </c>
      <c r="K20" s="579"/>
      <c r="L20" s="579"/>
      <c r="M20" s="579">
        <f t="shared" si="2"/>
        <v>0</v>
      </c>
      <c r="N20" s="580" t="e">
        <f t="shared" si="4"/>
        <v>#DIV/0!</v>
      </c>
      <c r="O20" s="580" t="e">
        <f t="shared" si="5"/>
        <v>#DIV/0!</v>
      </c>
    </row>
    <row r="21" spans="2:15" ht="20.100000000000001" customHeight="1" x14ac:dyDescent="0.2">
      <c r="B21" s="501"/>
      <c r="C21" s="584"/>
      <c r="D21" s="585"/>
      <c r="G21" s="1">
        <f>90.5*28/105/0.5</f>
        <v>48.266666666666666</v>
      </c>
      <c r="L21" s="381"/>
      <c r="M21" s="382"/>
      <c r="N21" s="383"/>
    </row>
    <row r="22" spans="2:15" ht="20.100000000000001" customHeight="1" x14ac:dyDescent="0.2">
      <c r="B22" s="411"/>
      <c r="C22" s="375"/>
      <c r="D22" s="413"/>
    </row>
    <row r="23" spans="2:15" ht="20.100000000000001" customHeight="1" x14ac:dyDescent="0.25">
      <c r="B23" s="417"/>
      <c r="C23" s="375"/>
      <c r="D23" s="410"/>
    </row>
    <row r="24" spans="2:15" ht="20.100000000000001" customHeight="1" thickBot="1" x14ac:dyDescent="0.3">
      <c r="B24" s="411"/>
      <c r="C24" s="418"/>
      <c r="D24" s="410"/>
      <c r="K24" s="598"/>
      <c r="L24" s="598"/>
    </row>
    <row r="25" spans="2:15" ht="20.100000000000001" customHeight="1" thickBot="1" x14ac:dyDescent="0.3">
      <c r="B25" s="414" t="s">
        <v>102</v>
      </c>
      <c r="C25" s="415">
        <f>SUM(C18:C24)</f>
        <v>11.604575163398694</v>
      </c>
      <c r="D25" s="416">
        <f>SUM(D18:D24)</f>
        <v>37855.509803921574</v>
      </c>
      <c r="F25" s="4"/>
      <c r="G25" s="4"/>
      <c r="H25" s="4"/>
    </row>
    <row r="26" spans="2:15" x14ac:dyDescent="0.2">
      <c r="F26" s="4"/>
      <c r="G26" s="4"/>
      <c r="H26" s="4"/>
    </row>
  </sheetData>
  <mergeCells count="2">
    <mergeCell ref="F6:F7"/>
    <mergeCell ref="G6:H6"/>
  </mergeCells>
  <pageMargins left="0.7" right="0.7" top="0.75" bottom="0.75" header="0.3" footer="0.3"/>
  <pageSetup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E451F-1DA8-419E-8428-90C287EF7C0D}">
  <sheetPr>
    <tabColor theme="7" tint="0.59999389629810485"/>
  </sheetPr>
  <dimension ref="B2:E5"/>
  <sheetViews>
    <sheetView workbookViewId="0">
      <selection activeCell="E31" sqref="D31:E31"/>
    </sheetView>
  </sheetViews>
  <sheetFormatPr defaultRowHeight="12.75" x14ac:dyDescent="0.2"/>
  <cols>
    <col min="2" max="2" width="13.28515625" customWidth="1"/>
    <col min="3" max="3" width="0.140625" customWidth="1"/>
    <col min="4" max="4" width="11.5703125" style="1" customWidth="1"/>
    <col min="5" max="5" width="15" style="1" customWidth="1"/>
    <col min="258" max="258" width="13.28515625" customWidth="1"/>
    <col min="259" max="259" width="0.140625" customWidth="1"/>
    <col min="260" max="260" width="11.5703125" customWidth="1"/>
    <col min="261" max="261" width="15" customWidth="1"/>
    <col min="514" max="514" width="13.28515625" customWidth="1"/>
    <col min="515" max="515" width="0.140625" customWidth="1"/>
    <col min="516" max="516" width="11.5703125" customWidth="1"/>
    <col min="517" max="517" width="15" customWidth="1"/>
    <col min="770" max="770" width="13.28515625" customWidth="1"/>
    <col min="771" max="771" width="0.140625" customWidth="1"/>
    <col min="772" max="772" width="11.5703125" customWidth="1"/>
    <col min="773" max="773" width="15" customWidth="1"/>
    <col min="1026" max="1026" width="13.28515625" customWidth="1"/>
    <col min="1027" max="1027" width="0.140625" customWidth="1"/>
    <col min="1028" max="1028" width="11.5703125" customWidth="1"/>
    <col min="1029" max="1029" width="15" customWidth="1"/>
    <col min="1282" max="1282" width="13.28515625" customWidth="1"/>
    <col min="1283" max="1283" width="0.140625" customWidth="1"/>
    <col min="1284" max="1284" width="11.5703125" customWidth="1"/>
    <col min="1285" max="1285" width="15" customWidth="1"/>
    <col min="1538" max="1538" width="13.28515625" customWidth="1"/>
    <col min="1539" max="1539" width="0.140625" customWidth="1"/>
    <col min="1540" max="1540" width="11.5703125" customWidth="1"/>
    <col min="1541" max="1541" width="15" customWidth="1"/>
    <col min="1794" max="1794" width="13.28515625" customWidth="1"/>
    <col min="1795" max="1795" width="0.140625" customWidth="1"/>
    <col min="1796" max="1796" width="11.5703125" customWidth="1"/>
    <col min="1797" max="1797" width="15" customWidth="1"/>
    <col min="2050" max="2050" width="13.28515625" customWidth="1"/>
    <col min="2051" max="2051" width="0.140625" customWidth="1"/>
    <col min="2052" max="2052" width="11.5703125" customWidth="1"/>
    <col min="2053" max="2053" width="15" customWidth="1"/>
    <col min="2306" max="2306" width="13.28515625" customWidth="1"/>
    <col min="2307" max="2307" width="0.140625" customWidth="1"/>
    <col min="2308" max="2308" width="11.5703125" customWidth="1"/>
    <col min="2309" max="2309" width="15" customWidth="1"/>
    <col min="2562" max="2562" width="13.28515625" customWidth="1"/>
    <col min="2563" max="2563" width="0.140625" customWidth="1"/>
    <col min="2564" max="2564" width="11.5703125" customWidth="1"/>
    <col min="2565" max="2565" width="15" customWidth="1"/>
    <col min="2818" max="2818" width="13.28515625" customWidth="1"/>
    <col min="2819" max="2819" width="0.140625" customWidth="1"/>
    <col min="2820" max="2820" width="11.5703125" customWidth="1"/>
    <col min="2821" max="2821" width="15" customWidth="1"/>
    <col min="3074" max="3074" width="13.28515625" customWidth="1"/>
    <col min="3075" max="3075" width="0.140625" customWidth="1"/>
    <col min="3076" max="3076" width="11.5703125" customWidth="1"/>
    <col min="3077" max="3077" width="15" customWidth="1"/>
    <col min="3330" max="3330" width="13.28515625" customWidth="1"/>
    <col min="3331" max="3331" width="0.140625" customWidth="1"/>
    <col min="3332" max="3332" width="11.5703125" customWidth="1"/>
    <col min="3333" max="3333" width="15" customWidth="1"/>
    <col min="3586" max="3586" width="13.28515625" customWidth="1"/>
    <col min="3587" max="3587" width="0.140625" customWidth="1"/>
    <col min="3588" max="3588" width="11.5703125" customWidth="1"/>
    <col min="3589" max="3589" width="15" customWidth="1"/>
    <col min="3842" max="3842" width="13.28515625" customWidth="1"/>
    <col min="3843" max="3843" width="0.140625" customWidth="1"/>
    <col min="3844" max="3844" width="11.5703125" customWidth="1"/>
    <col min="3845" max="3845" width="15" customWidth="1"/>
    <col min="4098" max="4098" width="13.28515625" customWidth="1"/>
    <col min="4099" max="4099" width="0.140625" customWidth="1"/>
    <col min="4100" max="4100" width="11.5703125" customWidth="1"/>
    <col min="4101" max="4101" width="15" customWidth="1"/>
    <col min="4354" max="4354" width="13.28515625" customWidth="1"/>
    <col min="4355" max="4355" width="0.140625" customWidth="1"/>
    <col min="4356" max="4356" width="11.5703125" customWidth="1"/>
    <col min="4357" max="4357" width="15" customWidth="1"/>
    <col min="4610" max="4610" width="13.28515625" customWidth="1"/>
    <col min="4611" max="4611" width="0.140625" customWidth="1"/>
    <col min="4612" max="4612" width="11.5703125" customWidth="1"/>
    <col min="4613" max="4613" width="15" customWidth="1"/>
    <col min="4866" max="4866" width="13.28515625" customWidth="1"/>
    <col min="4867" max="4867" width="0.140625" customWidth="1"/>
    <col min="4868" max="4868" width="11.5703125" customWidth="1"/>
    <col min="4869" max="4869" width="15" customWidth="1"/>
    <col min="5122" max="5122" width="13.28515625" customWidth="1"/>
    <col min="5123" max="5123" width="0.140625" customWidth="1"/>
    <col min="5124" max="5124" width="11.5703125" customWidth="1"/>
    <col min="5125" max="5125" width="15" customWidth="1"/>
    <col min="5378" max="5378" width="13.28515625" customWidth="1"/>
    <col min="5379" max="5379" width="0.140625" customWidth="1"/>
    <col min="5380" max="5380" width="11.5703125" customWidth="1"/>
    <col min="5381" max="5381" width="15" customWidth="1"/>
    <col min="5634" max="5634" width="13.28515625" customWidth="1"/>
    <col min="5635" max="5635" width="0.140625" customWidth="1"/>
    <col min="5636" max="5636" width="11.5703125" customWidth="1"/>
    <col min="5637" max="5637" width="15" customWidth="1"/>
    <col min="5890" max="5890" width="13.28515625" customWidth="1"/>
    <col min="5891" max="5891" width="0.140625" customWidth="1"/>
    <col min="5892" max="5892" width="11.5703125" customWidth="1"/>
    <col min="5893" max="5893" width="15" customWidth="1"/>
    <col min="6146" max="6146" width="13.28515625" customWidth="1"/>
    <col min="6147" max="6147" width="0.140625" customWidth="1"/>
    <col min="6148" max="6148" width="11.5703125" customWidth="1"/>
    <col min="6149" max="6149" width="15" customWidth="1"/>
    <col min="6402" max="6402" width="13.28515625" customWidth="1"/>
    <col min="6403" max="6403" width="0.140625" customWidth="1"/>
    <col min="6404" max="6404" width="11.5703125" customWidth="1"/>
    <col min="6405" max="6405" width="15" customWidth="1"/>
    <col min="6658" max="6658" width="13.28515625" customWidth="1"/>
    <col min="6659" max="6659" width="0.140625" customWidth="1"/>
    <col min="6660" max="6660" width="11.5703125" customWidth="1"/>
    <col min="6661" max="6661" width="15" customWidth="1"/>
    <col min="6914" max="6914" width="13.28515625" customWidth="1"/>
    <col min="6915" max="6915" width="0.140625" customWidth="1"/>
    <col min="6916" max="6916" width="11.5703125" customWidth="1"/>
    <col min="6917" max="6917" width="15" customWidth="1"/>
    <col min="7170" max="7170" width="13.28515625" customWidth="1"/>
    <col min="7171" max="7171" width="0.140625" customWidth="1"/>
    <col min="7172" max="7172" width="11.5703125" customWidth="1"/>
    <col min="7173" max="7173" width="15" customWidth="1"/>
    <col min="7426" max="7426" width="13.28515625" customWidth="1"/>
    <col min="7427" max="7427" width="0.140625" customWidth="1"/>
    <col min="7428" max="7428" width="11.5703125" customWidth="1"/>
    <col min="7429" max="7429" width="15" customWidth="1"/>
    <col min="7682" max="7682" width="13.28515625" customWidth="1"/>
    <col min="7683" max="7683" width="0.140625" customWidth="1"/>
    <col min="7684" max="7684" width="11.5703125" customWidth="1"/>
    <col min="7685" max="7685" width="15" customWidth="1"/>
    <col min="7938" max="7938" width="13.28515625" customWidth="1"/>
    <col min="7939" max="7939" width="0.140625" customWidth="1"/>
    <col min="7940" max="7940" width="11.5703125" customWidth="1"/>
    <col min="7941" max="7941" width="15" customWidth="1"/>
    <col min="8194" max="8194" width="13.28515625" customWidth="1"/>
    <col min="8195" max="8195" width="0.140625" customWidth="1"/>
    <col min="8196" max="8196" width="11.5703125" customWidth="1"/>
    <col min="8197" max="8197" width="15" customWidth="1"/>
    <col min="8450" max="8450" width="13.28515625" customWidth="1"/>
    <col min="8451" max="8451" width="0.140625" customWidth="1"/>
    <col min="8452" max="8452" width="11.5703125" customWidth="1"/>
    <col min="8453" max="8453" width="15" customWidth="1"/>
    <col min="8706" max="8706" width="13.28515625" customWidth="1"/>
    <col min="8707" max="8707" width="0.140625" customWidth="1"/>
    <col min="8708" max="8708" width="11.5703125" customWidth="1"/>
    <col min="8709" max="8709" width="15" customWidth="1"/>
    <col min="8962" max="8962" width="13.28515625" customWidth="1"/>
    <col min="8963" max="8963" width="0.140625" customWidth="1"/>
    <col min="8964" max="8964" width="11.5703125" customWidth="1"/>
    <col min="8965" max="8965" width="15" customWidth="1"/>
    <col min="9218" max="9218" width="13.28515625" customWidth="1"/>
    <col min="9219" max="9219" width="0.140625" customWidth="1"/>
    <col min="9220" max="9220" width="11.5703125" customWidth="1"/>
    <col min="9221" max="9221" width="15" customWidth="1"/>
    <col min="9474" max="9474" width="13.28515625" customWidth="1"/>
    <col min="9475" max="9475" width="0.140625" customWidth="1"/>
    <col min="9476" max="9476" width="11.5703125" customWidth="1"/>
    <col min="9477" max="9477" width="15" customWidth="1"/>
    <col min="9730" max="9730" width="13.28515625" customWidth="1"/>
    <col min="9731" max="9731" width="0.140625" customWidth="1"/>
    <col min="9732" max="9732" width="11.5703125" customWidth="1"/>
    <col min="9733" max="9733" width="15" customWidth="1"/>
    <col min="9986" max="9986" width="13.28515625" customWidth="1"/>
    <col min="9987" max="9987" width="0.140625" customWidth="1"/>
    <col min="9988" max="9988" width="11.5703125" customWidth="1"/>
    <col min="9989" max="9989" width="15" customWidth="1"/>
    <col min="10242" max="10242" width="13.28515625" customWidth="1"/>
    <col min="10243" max="10243" width="0.140625" customWidth="1"/>
    <col min="10244" max="10244" width="11.5703125" customWidth="1"/>
    <col min="10245" max="10245" width="15" customWidth="1"/>
    <col min="10498" max="10498" width="13.28515625" customWidth="1"/>
    <col min="10499" max="10499" width="0.140625" customWidth="1"/>
    <col min="10500" max="10500" width="11.5703125" customWidth="1"/>
    <col min="10501" max="10501" width="15" customWidth="1"/>
    <col min="10754" max="10754" width="13.28515625" customWidth="1"/>
    <col min="10755" max="10755" width="0.140625" customWidth="1"/>
    <col min="10756" max="10756" width="11.5703125" customWidth="1"/>
    <col min="10757" max="10757" width="15" customWidth="1"/>
    <col min="11010" max="11010" width="13.28515625" customWidth="1"/>
    <col min="11011" max="11011" width="0.140625" customWidth="1"/>
    <col min="11012" max="11012" width="11.5703125" customWidth="1"/>
    <col min="11013" max="11013" width="15" customWidth="1"/>
    <col min="11266" max="11266" width="13.28515625" customWidth="1"/>
    <col min="11267" max="11267" width="0.140625" customWidth="1"/>
    <col min="11268" max="11268" width="11.5703125" customWidth="1"/>
    <col min="11269" max="11269" width="15" customWidth="1"/>
    <col min="11522" max="11522" width="13.28515625" customWidth="1"/>
    <col min="11523" max="11523" width="0.140625" customWidth="1"/>
    <col min="11524" max="11524" width="11.5703125" customWidth="1"/>
    <col min="11525" max="11525" width="15" customWidth="1"/>
    <col min="11778" max="11778" width="13.28515625" customWidth="1"/>
    <col min="11779" max="11779" width="0.140625" customWidth="1"/>
    <col min="11780" max="11780" width="11.5703125" customWidth="1"/>
    <col min="11781" max="11781" width="15" customWidth="1"/>
    <col min="12034" max="12034" width="13.28515625" customWidth="1"/>
    <col min="12035" max="12035" width="0.140625" customWidth="1"/>
    <col min="12036" max="12036" width="11.5703125" customWidth="1"/>
    <col min="12037" max="12037" width="15" customWidth="1"/>
    <col min="12290" max="12290" width="13.28515625" customWidth="1"/>
    <col min="12291" max="12291" width="0.140625" customWidth="1"/>
    <col min="12292" max="12292" width="11.5703125" customWidth="1"/>
    <col min="12293" max="12293" width="15" customWidth="1"/>
    <col min="12546" max="12546" width="13.28515625" customWidth="1"/>
    <col min="12547" max="12547" width="0.140625" customWidth="1"/>
    <col min="12548" max="12548" width="11.5703125" customWidth="1"/>
    <col min="12549" max="12549" width="15" customWidth="1"/>
    <col min="12802" max="12802" width="13.28515625" customWidth="1"/>
    <col min="12803" max="12803" width="0.140625" customWidth="1"/>
    <col min="12804" max="12804" width="11.5703125" customWidth="1"/>
    <col min="12805" max="12805" width="15" customWidth="1"/>
    <col min="13058" max="13058" width="13.28515625" customWidth="1"/>
    <col min="13059" max="13059" width="0.140625" customWidth="1"/>
    <col min="13060" max="13060" width="11.5703125" customWidth="1"/>
    <col min="13061" max="13061" width="15" customWidth="1"/>
    <col min="13314" max="13314" width="13.28515625" customWidth="1"/>
    <col min="13315" max="13315" width="0.140625" customWidth="1"/>
    <col min="13316" max="13316" width="11.5703125" customWidth="1"/>
    <col min="13317" max="13317" width="15" customWidth="1"/>
    <col min="13570" max="13570" width="13.28515625" customWidth="1"/>
    <col min="13571" max="13571" width="0.140625" customWidth="1"/>
    <col min="13572" max="13572" width="11.5703125" customWidth="1"/>
    <col min="13573" max="13573" width="15" customWidth="1"/>
    <col min="13826" max="13826" width="13.28515625" customWidth="1"/>
    <col min="13827" max="13827" width="0.140625" customWidth="1"/>
    <col min="13828" max="13828" width="11.5703125" customWidth="1"/>
    <col min="13829" max="13829" width="15" customWidth="1"/>
    <col min="14082" max="14082" width="13.28515625" customWidth="1"/>
    <col min="14083" max="14083" width="0.140625" customWidth="1"/>
    <col min="14084" max="14084" width="11.5703125" customWidth="1"/>
    <col min="14085" max="14085" width="15" customWidth="1"/>
    <col min="14338" max="14338" width="13.28515625" customWidth="1"/>
    <col min="14339" max="14339" width="0.140625" customWidth="1"/>
    <col min="14340" max="14340" width="11.5703125" customWidth="1"/>
    <col min="14341" max="14341" width="15" customWidth="1"/>
    <col min="14594" max="14594" width="13.28515625" customWidth="1"/>
    <col min="14595" max="14595" width="0.140625" customWidth="1"/>
    <col min="14596" max="14596" width="11.5703125" customWidth="1"/>
    <col min="14597" max="14597" width="15" customWidth="1"/>
    <col min="14850" max="14850" width="13.28515625" customWidth="1"/>
    <col min="14851" max="14851" width="0.140625" customWidth="1"/>
    <col min="14852" max="14852" width="11.5703125" customWidth="1"/>
    <col min="14853" max="14853" width="15" customWidth="1"/>
    <col min="15106" max="15106" width="13.28515625" customWidth="1"/>
    <col min="15107" max="15107" width="0.140625" customWidth="1"/>
    <col min="15108" max="15108" width="11.5703125" customWidth="1"/>
    <col min="15109" max="15109" width="15" customWidth="1"/>
    <col min="15362" max="15362" width="13.28515625" customWidth="1"/>
    <col min="15363" max="15363" width="0.140625" customWidth="1"/>
    <col min="15364" max="15364" width="11.5703125" customWidth="1"/>
    <col min="15365" max="15365" width="15" customWidth="1"/>
    <col min="15618" max="15618" width="13.28515625" customWidth="1"/>
    <col min="15619" max="15619" width="0.140625" customWidth="1"/>
    <col min="15620" max="15620" width="11.5703125" customWidth="1"/>
    <col min="15621" max="15621" width="15" customWidth="1"/>
    <col min="15874" max="15874" width="13.28515625" customWidth="1"/>
    <col min="15875" max="15875" width="0.140625" customWidth="1"/>
    <col min="15876" max="15876" width="11.5703125" customWidth="1"/>
    <col min="15877" max="15877" width="15" customWidth="1"/>
    <col min="16130" max="16130" width="13.28515625" customWidth="1"/>
    <col min="16131" max="16131" width="0.140625" customWidth="1"/>
    <col min="16132" max="16132" width="11.5703125" customWidth="1"/>
    <col min="16133" max="16133" width="15" customWidth="1"/>
  </cols>
  <sheetData>
    <row r="2" spans="2:5" ht="15" x14ac:dyDescent="0.25">
      <c r="B2" s="426" t="s">
        <v>323</v>
      </c>
      <c r="C2" s="282"/>
      <c r="D2" s="302" t="s">
        <v>213</v>
      </c>
      <c r="E2" s="302" t="s">
        <v>214</v>
      </c>
    </row>
    <row r="3" spans="2:5" ht="15" x14ac:dyDescent="0.25">
      <c r="B3" s="426" t="s">
        <v>324</v>
      </c>
      <c r="C3" s="133"/>
      <c r="D3" s="589">
        <f>Reactivi_Belin!P6</f>
        <v>3893.0679388429412</v>
      </c>
      <c r="E3" s="589">
        <f>D3</f>
        <v>3893.0679388429412</v>
      </c>
    </row>
    <row r="4" spans="2:5" ht="15" x14ac:dyDescent="0.25">
      <c r="B4" s="426" t="s">
        <v>325</v>
      </c>
      <c r="C4" s="133"/>
      <c r="D4" s="427">
        <v>0</v>
      </c>
      <c r="E4" s="427">
        <v>0</v>
      </c>
    </row>
    <row r="5" spans="2:5" ht="15" x14ac:dyDescent="0.25">
      <c r="B5" s="426" t="s">
        <v>102</v>
      </c>
      <c r="C5" s="282"/>
      <c r="D5" s="590">
        <f>SUM(D3:D4)</f>
        <v>3893.0679388429412</v>
      </c>
      <c r="E5" s="590">
        <f>SUM(E3:E4)</f>
        <v>3893.0679388429412</v>
      </c>
    </row>
  </sheetData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 tint="-0.34998626667073579"/>
  </sheetPr>
  <dimension ref="A1:I22"/>
  <sheetViews>
    <sheetView view="pageBreakPreview" zoomScale="60" zoomScaleNormal="100" workbookViewId="0">
      <selection activeCell="U14" sqref="U14"/>
    </sheetView>
  </sheetViews>
  <sheetFormatPr defaultRowHeight="12.75" x14ac:dyDescent="0.2"/>
  <cols>
    <col min="1" max="1" width="8.85546875" style="458" customWidth="1"/>
    <col min="2" max="2" width="10.7109375" style="458" customWidth="1"/>
    <col min="3" max="3" width="26.85546875" style="458" customWidth="1"/>
    <col min="4" max="4" width="9.5703125" style="458" customWidth="1"/>
    <col min="5" max="5" width="14.42578125" style="496" customWidth="1"/>
    <col min="6" max="6" width="11.7109375" style="496" customWidth="1"/>
    <col min="7" max="7" width="12" style="496" customWidth="1"/>
    <col min="8" max="8" width="12.42578125" style="496" customWidth="1"/>
    <col min="9" max="9" width="18.7109375" style="458" customWidth="1"/>
    <col min="10" max="16384" width="9.140625" style="460"/>
  </cols>
  <sheetData>
    <row r="1" spans="1:9" ht="30" customHeight="1" x14ac:dyDescent="0.2">
      <c r="C1" s="1112" t="s">
        <v>54</v>
      </c>
      <c r="D1" s="1112"/>
      <c r="E1" s="1112"/>
      <c r="F1" s="1112"/>
      <c r="G1" s="1112"/>
      <c r="H1" s="1112"/>
      <c r="I1" s="459"/>
    </row>
    <row r="2" spans="1:9" ht="22.5" customHeight="1" thickBot="1" x14ac:dyDescent="0.25">
      <c r="C2" s="1113" t="s">
        <v>55</v>
      </c>
      <c r="D2" s="1113"/>
      <c r="E2" s="1113"/>
      <c r="F2" s="1113"/>
      <c r="G2" s="1113"/>
      <c r="H2" s="1113"/>
      <c r="I2" s="459"/>
    </row>
    <row r="3" spans="1:9" s="466" customFormat="1" ht="50.25" customHeight="1" x14ac:dyDescent="0.2">
      <c r="A3" s="461" t="s">
        <v>56</v>
      </c>
      <c r="B3" s="462" t="s">
        <v>57</v>
      </c>
      <c r="C3" s="462" t="s">
        <v>58</v>
      </c>
      <c r="D3" s="462" t="s">
        <v>59</v>
      </c>
      <c r="E3" s="463" t="s">
        <v>60</v>
      </c>
      <c r="F3" s="464" t="s">
        <v>61</v>
      </c>
      <c r="G3" s="463" t="s">
        <v>62</v>
      </c>
      <c r="H3" s="465" t="s">
        <v>63</v>
      </c>
    </row>
    <row r="4" spans="1:9" s="466" customFormat="1" ht="15" customHeight="1" thickBot="1" x14ac:dyDescent="0.25">
      <c r="A4" s="467"/>
      <c r="B4" s="468" t="s">
        <v>46</v>
      </c>
      <c r="C4" s="468"/>
      <c r="D4" s="468" t="s">
        <v>29</v>
      </c>
      <c r="E4" s="469"/>
      <c r="F4" s="469" t="s">
        <v>64</v>
      </c>
      <c r="G4" s="469" t="s">
        <v>65</v>
      </c>
      <c r="H4" s="470" t="s">
        <v>65</v>
      </c>
    </row>
    <row r="5" spans="1:9" ht="45" customHeight="1" thickTop="1" thickBot="1" x14ac:dyDescent="0.25">
      <c r="A5" s="471" t="s">
        <v>66</v>
      </c>
      <c r="B5" s="1109" t="s">
        <v>67</v>
      </c>
      <c r="C5" s="472" t="s">
        <v>335</v>
      </c>
      <c r="D5" s="473">
        <v>0.7</v>
      </c>
      <c r="E5" s="474" t="s">
        <v>68</v>
      </c>
      <c r="F5" s="475">
        <v>79</v>
      </c>
      <c r="G5" s="476">
        <f>D5*F5</f>
        <v>55.3</v>
      </c>
      <c r="H5" s="477">
        <f>G5*1.15</f>
        <v>63.594999999999992</v>
      </c>
      <c r="I5" s="460"/>
    </row>
    <row r="6" spans="1:9" ht="45" customHeight="1" thickTop="1" thickBot="1" x14ac:dyDescent="0.25">
      <c r="A6" s="478" t="s">
        <v>69</v>
      </c>
      <c r="B6" s="1110"/>
      <c r="C6" s="479" t="s">
        <v>336</v>
      </c>
      <c r="D6" s="480">
        <v>0.7</v>
      </c>
      <c r="E6" s="481" t="s">
        <v>70</v>
      </c>
      <c r="F6" s="482">
        <v>78.03</v>
      </c>
      <c r="G6" s="483">
        <f t="shared" ref="G6:G19" si="0">D6*F6</f>
        <v>54.620999999999995</v>
      </c>
      <c r="H6" s="477">
        <f t="shared" ref="H6:H22" si="1">G6*1.15</f>
        <v>62.814149999999991</v>
      </c>
      <c r="I6" s="460"/>
    </row>
    <row r="7" spans="1:9" ht="45" customHeight="1" thickTop="1" thickBot="1" x14ac:dyDescent="0.25">
      <c r="A7" s="484" t="s">
        <v>71</v>
      </c>
      <c r="B7" s="1114"/>
      <c r="C7" s="485" t="s">
        <v>337</v>
      </c>
      <c r="D7" s="486">
        <v>0.7</v>
      </c>
      <c r="E7" s="487" t="s">
        <v>72</v>
      </c>
      <c r="F7" s="488">
        <v>16.75</v>
      </c>
      <c r="G7" s="489">
        <f t="shared" si="0"/>
        <v>11.725</v>
      </c>
      <c r="H7" s="477">
        <f t="shared" si="1"/>
        <v>13.483749999999999</v>
      </c>
      <c r="I7" s="460"/>
    </row>
    <row r="8" spans="1:9" ht="45" customHeight="1" thickTop="1" thickBot="1" x14ac:dyDescent="0.25">
      <c r="A8" s="471" t="s">
        <v>73</v>
      </c>
      <c r="B8" s="1109" t="s">
        <v>74</v>
      </c>
      <c r="C8" s="472" t="s">
        <v>335</v>
      </c>
      <c r="D8" s="473">
        <v>0.8</v>
      </c>
      <c r="E8" s="474" t="s">
        <v>68</v>
      </c>
      <c r="F8" s="475">
        <v>79</v>
      </c>
      <c r="G8" s="476">
        <f>D8*F8</f>
        <v>63.2</v>
      </c>
      <c r="H8" s="477">
        <f t="shared" si="1"/>
        <v>72.679999999999993</v>
      </c>
      <c r="I8" s="460"/>
    </row>
    <row r="9" spans="1:9" ht="45" customHeight="1" thickTop="1" thickBot="1" x14ac:dyDescent="0.25">
      <c r="A9" s="478" t="s">
        <v>75</v>
      </c>
      <c r="B9" s="1110"/>
      <c r="C9" s="479" t="s">
        <v>336</v>
      </c>
      <c r="D9" s="480">
        <v>0.8</v>
      </c>
      <c r="E9" s="481" t="s">
        <v>70</v>
      </c>
      <c r="F9" s="482">
        <v>78.03</v>
      </c>
      <c r="G9" s="483">
        <f>D9*F9</f>
        <v>62.424000000000007</v>
      </c>
      <c r="H9" s="477">
        <f t="shared" si="1"/>
        <v>71.787599999999998</v>
      </c>
      <c r="I9" s="460"/>
    </row>
    <row r="10" spans="1:9" ht="45" customHeight="1" thickTop="1" thickBot="1" x14ac:dyDescent="0.25">
      <c r="A10" s="484" t="s">
        <v>76</v>
      </c>
      <c r="B10" s="1114"/>
      <c r="C10" s="485" t="s">
        <v>337</v>
      </c>
      <c r="D10" s="486">
        <v>0.8</v>
      </c>
      <c r="E10" s="487" t="s">
        <v>72</v>
      </c>
      <c r="F10" s="488">
        <v>16.75</v>
      </c>
      <c r="G10" s="489">
        <f>D10*F10</f>
        <v>13.4</v>
      </c>
      <c r="H10" s="477">
        <f t="shared" si="1"/>
        <v>15.409999999999998</v>
      </c>
      <c r="I10" s="460"/>
    </row>
    <row r="11" spans="1:9" ht="45" customHeight="1" thickTop="1" thickBot="1" x14ac:dyDescent="0.25">
      <c r="A11" s="471" t="s">
        <v>77</v>
      </c>
      <c r="B11" s="1109" t="s">
        <v>78</v>
      </c>
      <c r="C11" s="472" t="s">
        <v>335</v>
      </c>
      <c r="D11" s="473">
        <v>0.9</v>
      </c>
      <c r="E11" s="474" t="s">
        <v>68</v>
      </c>
      <c r="F11" s="475">
        <v>79</v>
      </c>
      <c r="G11" s="476">
        <f t="shared" si="0"/>
        <v>71.100000000000009</v>
      </c>
      <c r="H11" s="477">
        <f t="shared" si="1"/>
        <v>81.765000000000001</v>
      </c>
      <c r="I11" s="460"/>
    </row>
    <row r="12" spans="1:9" ht="45" customHeight="1" thickTop="1" thickBot="1" x14ac:dyDescent="0.25">
      <c r="A12" s="478" t="s">
        <v>79</v>
      </c>
      <c r="B12" s="1110"/>
      <c r="C12" s="479" t="s">
        <v>336</v>
      </c>
      <c r="D12" s="480">
        <v>0.9</v>
      </c>
      <c r="E12" s="481" t="s">
        <v>70</v>
      </c>
      <c r="F12" s="482">
        <v>78.2</v>
      </c>
      <c r="G12" s="483">
        <f t="shared" si="0"/>
        <v>70.38000000000001</v>
      </c>
      <c r="H12" s="477">
        <f t="shared" si="1"/>
        <v>80.937000000000012</v>
      </c>
      <c r="I12" s="460"/>
    </row>
    <row r="13" spans="1:9" ht="45" customHeight="1" thickTop="1" thickBot="1" x14ac:dyDescent="0.25">
      <c r="A13" s="484" t="s">
        <v>80</v>
      </c>
      <c r="B13" s="1114"/>
      <c r="C13" s="485" t="s">
        <v>337</v>
      </c>
      <c r="D13" s="486">
        <v>0.9</v>
      </c>
      <c r="E13" s="487" t="s">
        <v>72</v>
      </c>
      <c r="F13" s="488">
        <v>16.75</v>
      </c>
      <c r="G13" s="489">
        <f t="shared" si="0"/>
        <v>15.075000000000001</v>
      </c>
      <c r="H13" s="477">
        <f t="shared" si="1"/>
        <v>17.33625</v>
      </c>
      <c r="I13" s="460"/>
    </row>
    <row r="14" spans="1:9" ht="45" customHeight="1" thickTop="1" thickBot="1" x14ac:dyDescent="0.25">
      <c r="A14" s="471" t="s">
        <v>81</v>
      </c>
      <c r="B14" s="1109" t="s">
        <v>82</v>
      </c>
      <c r="C14" s="472" t="s">
        <v>335</v>
      </c>
      <c r="D14" s="473">
        <v>1</v>
      </c>
      <c r="E14" s="474" t="s">
        <v>68</v>
      </c>
      <c r="F14" s="475">
        <v>79</v>
      </c>
      <c r="G14" s="476">
        <f>D14*F14</f>
        <v>79</v>
      </c>
      <c r="H14" s="477">
        <f t="shared" si="1"/>
        <v>90.85</v>
      </c>
      <c r="I14" s="460"/>
    </row>
    <row r="15" spans="1:9" ht="45" customHeight="1" thickTop="1" thickBot="1" x14ac:dyDescent="0.25">
      <c r="A15" s="478" t="s">
        <v>83</v>
      </c>
      <c r="B15" s="1110"/>
      <c r="C15" s="479" t="s">
        <v>336</v>
      </c>
      <c r="D15" s="480">
        <v>1</v>
      </c>
      <c r="E15" s="481" t="s">
        <v>70</v>
      </c>
      <c r="F15" s="482">
        <v>78.2</v>
      </c>
      <c r="G15" s="483">
        <f>D15*F15</f>
        <v>78.2</v>
      </c>
      <c r="H15" s="477">
        <f t="shared" si="1"/>
        <v>89.929999999999993</v>
      </c>
      <c r="I15" s="460"/>
    </row>
    <row r="16" spans="1:9" ht="45" customHeight="1" thickTop="1" thickBot="1" x14ac:dyDescent="0.25">
      <c r="A16" s="484" t="s">
        <v>84</v>
      </c>
      <c r="B16" s="1114"/>
      <c r="C16" s="485" t="s">
        <v>337</v>
      </c>
      <c r="D16" s="486">
        <v>1</v>
      </c>
      <c r="E16" s="487" t="s">
        <v>72</v>
      </c>
      <c r="F16" s="488">
        <v>16.75</v>
      </c>
      <c r="G16" s="489">
        <f>D16*F16</f>
        <v>16.75</v>
      </c>
      <c r="H16" s="477">
        <f t="shared" si="1"/>
        <v>19.262499999999999</v>
      </c>
      <c r="I16" s="460"/>
    </row>
    <row r="17" spans="1:9" ht="45" customHeight="1" thickTop="1" thickBot="1" x14ac:dyDescent="0.25">
      <c r="A17" s="471" t="s">
        <v>85</v>
      </c>
      <c r="B17" s="1109" t="s">
        <v>86</v>
      </c>
      <c r="C17" s="472" t="s">
        <v>335</v>
      </c>
      <c r="D17" s="473">
        <v>1.1499999999999999</v>
      </c>
      <c r="E17" s="474" t="s">
        <v>68</v>
      </c>
      <c r="F17" s="475">
        <v>79.2</v>
      </c>
      <c r="G17" s="476">
        <f t="shared" si="0"/>
        <v>91.08</v>
      </c>
      <c r="H17" s="477">
        <f t="shared" si="1"/>
        <v>104.74199999999999</v>
      </c>
      <c r="I17" s="460"/>
    </row>
    <row r="18" spans="1:9" ht="45" customHeight="1" thickTop="1" thickBot="1" x14ac:dyDescent="0.25">
      <c r="A18" s="478" t="s">
        <v>87</v>
      </c>
      <c r="B18" s="1110"/>
      <c r="C18" s="479" t="s">
        <v>336</v>
      </c>
      <c r="D18" s="480">
        <v>1.1499999999999999</v>
      </c>
      <c r="E18" s="481" t="s">
        <v>70</v>
      </c>
      <c r="F18" s="482">
        <v>78.239999999999995</v>
      </c>
      <c r="G18" s="483">
        <f t="shared" si="0"/>
        <v>89.975999999999985</v>
      </c>
      <c r="H18" s="477">
        <f t="shared" si="1"/>
        <v>103.47239999999998</v>
      </c>
      <c r="I18" s="460"/>
    </row>
    <row r="19" spans="1:9" ht="45" customHeight="1" thickTop="1" thickBot="1" x14ac:dyDescent="0.25">
      <c r="A19" s="490" t="s">
        <v>88</v>
      </c>
      <c r="B19" s="1111"/>
      <c r="C19" s="491" t="s">
        <v>337</v>
      </c>
      <c r="D19" s="492">
        <v>1.1499999999999999</v>
      </c>
      <c r="E19" s="493" t="s">
        <v>72</v>
      </c>
      <c r="F19" s="494">
        <v>16.75</v>
      </c>
      <c r="G19" s="495">
        <f t="shared" si="0"/>
        <v>19.262499999999999</v>
      </c>
      <c r="H19" s="477">
        <f t="shared" si="1"/>
        <v>22.151874999999997</v>
      </c>
      <c r="I19" s="460"/>
    </row>
    <row r="20" spans="1:9" ht="45" customHeight="1" thickTop="1" thickBot="1" x14ac:dyDescent="0.25">
      <c r="A20" s="471" t="s">
        <v>89</v>
      </c>
      <c r="B20" s="1109" t="s">
        <v>90</v>
      </c>
      <c r="C20" s="472" t="s">
        <v>335</v>
      </c>
      <c r="D20" s="473">
        <v>1.35</v>
      </c>
      <c r="E20" s="474" t="s">
        <v>68</v>
      </c>
      <c r="F20" s="475">
        <v>79.2</v>
      </c>
      <c r="G20" s="476">
        <f>D20*F20</f>
        <v>106.92000000000002</v>
      </c>
      <c r="H20" s="477">
        <f t="shared" si="1"/>
        <v>122.95800000000001</v>
      </c>
      <c r="I20" s="460"/>
    </row>
    <row r="21" spans="1:9" ht="45" customHeight="1" thickTop="1" thickBot="1" x14ac:dyDescent="0.25">
      <c r="A21" s="478" t="s">
        <v>91</v>
      </c>
      <c r="B21" s="1110"/>
      <c r="C21" s="479" t="s">
        <v>336</v>
      </c>
      <c r="D21" s="480">
        <v>1.35</v>
      </c>
      <c r="E21" s="481" t="s">
        <v>70</v>
      </c>
      <c r="F21" s="482">
        <v>78.239999999999995</v>
      </c>
      <c r="G21" s="483">
        <f>D21*F21</f>
        <v>105.624</v>
      </c>
      <c r="H21" s="477">
        <f t="shared" si="1"/>
        <v>121.46759999999999</v>
      </c>
      <c r="I21" s="460"/>
    </row>
    <row r="22" spans="1:9" ht="45" customHeight="1" thickTop="1" thickBot="1" x14ac:dyDescent="0.25">
      <c r="A22" s="490" t="s">
        <v>92</v>
      </c>
      <c r="B22" s="1111"/>
      <c r="C22" s="491" t="s">
        <v>337</v>
      </c>
      <c r="D22" s="492">
        <v>1.35</v>
      </c>
      <c r="E22" s="493" t="s">
        <v>72</v>
      </c>
      <c r="F22" s="494">
        <v>16.75</v>
      </c>
      <c r="G22" s="495">
        <f>D22*F22</f>
        <v>22.612500000000001</v>
      </c>
      <c r="H22" s="477">
        <f t="shared" si="1"/>
        <v>26.004375</v>
      </c>
      <c r="I22" s="460"/>
    </row>
  </sheetData>
  <mergeCells count="8">
    <mergeCell ref="B17:B19"/>
    <mergeCell ref="B20:B22"/>
    <mergeCell ref="C1:H1"/>
    <mergeCell ref="C2:H2"/>
    <mergeCell ref="B5:B7"/>
    <mergeCell ref="B8:B10"/>
    <mergeCell ref="B11:B13"/>
    <mergeCell ref="B14:B16"/>
  </mergeCells>
  <pageMargins left="1.03" right="0.75" top="1" bottom="1" header="0.5" footer="0.5"/>
  <pageSetup paperSize="9" scale="69" orientation="portrait" r:id="rId1"/>
  <headerFooter alignWithMargins="0"/>
  <colBreaks count="2" manualBreakCount="2">
    <brk id="8" max="27" man="1"/>
    <brk id="9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52EA-3AE6-4F52-8A29-8D5352D921DA}">
  <sheetPr>
    <tabColor theme="5" tint="0.59999389629810485"/>
  </sheetPr>
  <dimension ref="A1:J309"/>
  <sheetViews>
    <sheetView view="pageBreakPreview" zoomScaleNormal="100" zoomScaleSheetLayoutView="100" workbookViewId="0">
      <selection activeCell="B10" sqref="B10"/>
    </sheetView>
  </sheetViews>
  <sheetFormatPr defaultColWidth="9.28515625" defaultRowHeight="12.75" x14ac:dyDescent="0.2"/>
  <cols>
    <col min="1" max="1" width="3.5703125" style="857" customWidth="1"/>
    <col min="2" max="2" width="43.28515625" style="858" customWidth="1"/>
    <col min="3" max="3" width="12.5703125" style="859" customWidth="1"/>
    <col min="4" max="4" width="12.28515625" style="859" customWidth="1"/>
    <col min="5" max="5" width="10.28515625" style="860" bestFit="1" customWidth="1"/>
    <col min="6" max="6" width="19.42578125" style="859" customWidth="1"/>
    <col min="7" max="7" width="11.7109375" style="676" bestFit="1" customWidth="1"/>
    <col min="8" max="8" width="20.42578125" style="676" customWidth="1"/>
    <col min="9" max="9" width="12.28515625" style="831" bestFit="1" customWidth="1"/>
    <col min="10" max="10" width="11.28515625" style="832" bestFit="1" customWidth="1"/>
    <col min="11" max="256" width="9.28515625" style="676"/>
    <col min="257" max="257" width="3.5703125" style="676" customWidth="1"/>
    <col min="258" max="258" width="43.28515625" style="676" customWidth="1"/>
    <col min="259" max="259" width="12.5703125" style="676" customWidth="1"/>
    <col min="260" max="260" width="12.28515625" style="676" customWidth="1"/>
    <col min="261" max="261" width="10.28515625" style="676" bestFit="1" customWidth="1"/>
    <col min="262" max="262" width="19.42578125" style="676" customWidth="1"/>
    <col min="263" max="263" width="11.7109375" style="676" bestFit="1" customWidth="1"/>
    <col min="264" max="264" width="20.42578125" style="676" customWidth="1"/>
    <col min="265" max="265" width="12.28515625" style="676" bestFit="1" customWidth="1"/>
    <col min="266" max="266" width="11.28515625" style="676" bestFit="1" customWidth="1"/>
    <col min="267" max="512" width="9.28515625" style="676"/>
    <col min="513" max="513" width="3.5703125" style="676" customWidth="1"/>
    <col min="514" max="514" width="43.28515625" style="676" customWidth="1"/>
    <col min="515" max="515" width="12.5703125" style="676" customWidth="1"/>
    <col min="516" max="516" width="12.28515625" style="676" customWidth="1"/>
    <col min="517" max="517" width="10.28515625" style="676" bestFit="1" customWidth="1"/>
    <col min="518" max="518" width="19.42578125" style="676" customWidth="1"/>
    <col min="519" max="519" width="11.7109375" style="676" bestFit="1" customWidth="1"/>
    <col min="520" max="520" width="20.42578125" style="676" customWidth="1"/>
    <col min="521" max="521" width="12.28515625" style="676" bestFit="1" customWidth="1"/>
    <col min="522" max="522" width="11.28515625" style="676" bestFit="1" customWidth="1"/>
    <col min="523" max="768" width="9.28515625" style="676"/>
    <col min="769" max="769" width="3.5703125" style="676" customWidth="1"/>
    <col min="770" max="770" width="43.28515625" style="676" customWidth="1"/>
    <col min="771" max="771" width="12.5703125" style="676" customWidth="1"/>
    <col min="772" max="772" width="12.28515625" style="676" customWidth="1"/>
    <col min="773" max="773" width="10.28515625" style="676" bestFit="1" customWidth="1"/>
    <col min="774" max="774" width="19.42578125" style="676" customWidth="1"/>
    <col min="775" max="775" width="11.7109375" style="676" bestFit="1" customWidth="1"/>
    <col min="776" max="776" width="20.42578125" style="676" customWidth="1"/>
    <col min="777" max="777" width="12.28515625" style="676" bestFit="1" customWidth="1"/>
    <col min="778" max="778" width="11.28515625" style="676" bestFit="1" customWidth="1"/>
    <col min="779" max="1024" width="9.28515625" style="676"/>
    <col min="1025" max="1025" width="3.5703125" style="676" customWidth="1"/>
    <col min="1026" max="1026" width="43.28515625" style="676" customWidth="1"/>
    <col min="1027" max="1027" width="12.5703125" style="676" customWidth="1"/>
    <col min="1028" max="1028" width="12.28515625" style="676" customWidth="1"/>
    <col min="1029" max="1029" width="10.28515625" style="676" bestFit="1" customWidth="1"/>
    <col min="1030" max="1030" width="19.42578125" style="676" customWidth="1"/>
    <col min="1031" max="1031" width="11.7109375" style="676" bestFit="1" customWidth="1"/>
    <col min="1032" max="1032" width="20.42578125" style="676" customWidth="1"/>
    <col min="1033" max="1033" width="12.28515625" style="676" bestFit="1" customWidth="1"/>
    <col min="1034" max="1034" width="11.28515625" style="676" bestFit="1" customWidth="1"/>
    <col min="1035" max="1280" width="9.28515625" style="676"/>
    <col min="1281" max="1281" width="3.5703125" style="676" customWidth="1"/>
    <col min="1282" max="1282" width="43.28515625" style="676" customWidth="1"/>
    <col min="1283" max="1283" width="12.5703125" style="676" customWidth="1"/>
    <col min="1284" max="1284" width="12.28515625" style="676" customWidth="1"/>
    <col min="1285" max="1285" width="10.28515625" style="676" bestFit="1" customWidth="1"/>
    <col min="1286" max="1286" width="19.42578125" style="676" customWidth="1"/>
    <col min="1287" max="1287" width="11.7109375" style="676" bestFit="1" customWidth="1"/>
    <col min="1288" max="1288" width="20.42578125" style="676" customWidth="1"/>
    <col min="1289" max="1289" width="12.28515625" style="676" bestFit="1" customWidth="1"/>
    <col min="1290" max="1290" width="11.28515625" style="676" bestFit="1" customWidth="1"/>
    <col min="1291" max="1536" width="9.28515625" style="676"/>
    <col min="1537" max="1537" width="3.5703125" style="676" customWidth="1"/>
    <col min="1538" max="1538" width="43.28515625" style="676" customWidth="1"/>
    <col min="1539" max="1539" width="12.5703125" style="676" customWidth="1"/>
    <col min="1540" max="1540" width="12.28515625" style="676" customWidth="1"/>
    <col min="1541" max="1541" width="10.28515625" style="676" bestFit="1" customWidth="1"/>
    <col min="1542" max="1542" width="19.42578125" style="676" customWidth="1"/>
    <col min="1543" max="1543" width="11.7109375" style="676" bestFit="1" customWidth="1"/>
    <col min="1544" max="1544" width="20.42578125" style="676" customWidth="1"/>
    <col min="1545" max="1545" width="12.28515625" style="676" bestFit="1" customWidth="1"/>
    <col min="1546" max="1546" width="11.28515625" style="676" bestFit="1" customWidth="1"/>
    <col min="1547" max="1792" width="9.28515625" style="676"/>
    <col min="1793" max="1793" width="3.5703125" style="676" customWidth="1"/>
    <col min="1794" max="1794" width="43.28515625" style="676" customWidth="1"/>
    <col min="1795" max="1795" width="12.5703125" style="676" customWidth="1"/>
    <col min="1796" max="1796" width="12.28515625" style="676" customWidth="1"/>
    <col min="1797" max="1797" width="10.28515625" style="676" bestFit="1" customWidth="1"/>
    <col min="1798" max="1798" width="19.42578125" style="676" customWidth="1"/>
    <col min="1799" max="1799" width="11.7109375" style="676" bestFit="1" customWidth="1"/>
    <col min="1800" max="1800" width="20.42578125" style="676" customWidth="1"/>
    <col min="1801" max="1801" width="12.28515625" style="676" bestFit="1" customWidth="1"/>
    <col min="1802" max="1802" width="11.28515625" style="676" bestFit="1" customWidth="1"/>
    <col min="1803" max="2048" width="9.28515625" style="676"/>
    <col min="2049" max="2049" width="3.5703125" style="676" customWidth="1"/>
    <col min="2050" max="2050" width="43.28515625" style="676" customWidth="1"/>
    <col min="2051" max="2051" width="12.5703125" style="676" customWidth="1"/>
    <col min="2052" max="2052" width="12.28515625" style="676" customWidth="1"/>
    <col min="2053" max="2053" width="10.28515625" style="676" bestFit="1" customWidth="1"/>
    <col min="2054" max="2054" width="19.42578125" style="676" customWidth="1"/>
    <col min="2055" max="2055" width="11.7109375" style="676" bestFit="1" customWidth="1"/>
    <col min="2056" max="2056" width="20.42578125" style="676" customWidth="1"/>
    <col min="2057" max="2057" width="12.28515625" style="676" bestFit="1" customWidth="1"/>
    <col min="2058" max="2058" width="11.28515625" style="676" bestFit="1" customWidth="1"/>
    <col min="2059" max="2304" width="9.28515625" style="676"/>
    <col min="2305" max="2305" width="3.5703125" style="676" customWidth="1"/>
    <col min="2306" max="2306" width="43.28515625" style="676" customWidth="1"/>
    <col min="2307" max="2307" width="12.5703125" style="676" customWidth="1"/>
    <col min="2308" max="2308" width="12.28515625" style="676" customWidth="1"/>
    <col min="2309" max="2309" width="10.28515625" style="676" bestFit="1" customWidth="1"/>
    <col min="2310" max="2310" width="19.42578125" style="676" customWidth="1"/>
    <col min="2311" max="2311" width="11.7109375" style="676" bestFit="1" customWidth="1"/>
    <col min="2312" max="2312" width="20.42578125" style="676" customWidth="1"/>
    <col min="2313" max="2313" width="12.28515625" style="676" bestFit="1" customWidth="1"/>
    <col min="2314" max="2314" width="11.28515625" style="676" bestFit="1" customWidth="1"/>
    <col min="2315" max="2560" width="9.28515625" style="676"/>
    <col min="2561" max="2561" width="3.5703125" style="676" customWidth="1"/>
    <col min="2562" max="2562" width="43.28515625" style="676" customWidth="1"/>
    <col min="2563" max="2563" width="12.5703125" style="676" customWidth="1"/>
    <col min="2564" max="2564" width="12.28515625" style="676" customWidth="1"/>
    <col min="2565" max="2565" width="10.28515625" style="676" bestFit="1" customWidth="1"/>
    <col min="2566" max="2566" width="19.42578125" style="676" customWidth="1"/>
    <col min="2567" max="2567" width="11.7109375" style="676" bestFit="1" customWidth="1"/>
    <col min="2568" max="2568" width="20.42578125" style="676" customWidth="1"/>
    <col min="2569" max="2569" width="12.28515625" style="676" bestFit="1" customWidth="1"/>
    <col min="2570" max="2570" width="11.28515625" style="676" bestFit="1" customWidth="1"/>
    <col min="2571" max="2816" width="9.28515625" style="676"/>
    <col min="2817" max="2817" width="3.5703125" style="676" customWidth="1"/>
    <col min="2818" max="2818" width="43.28515625" style="676" customWidth="1"/>
    <col min="2819" max="2819" width="12.5703125" style="676" customWidth="1"/>
    <col min="2820" max="2820" width="12.28515625" style="676" customWidth="1"/>
    <col min="2821" max="2821" width="10.28515625" style="676" bestFit="1" customWidth="1"/>
    <col min="2822" max="2822" width="19.42578125" style="676" customWidth="1"/>
    <col min="2823" max="2823" width="11.7109375" style="676" bestFit="1" customWidth="1"/>
    <col min="2824" max="2824" width="20.42578125" style="676" customWidth="1"/>
    <col min="2825" max="2825" width="12.28515625" style="676" bestFit="1" customWidth="1"/>
    <col min="2826" max="2826" width="11.28515625" style="676" bestFit="1" customWidth="1"/>
    <col min="2827" max="3072" width="9.28515625" style="676"/>
    <col min="3073" max="3073" width="3.5703125" style="676" customWidth="1"/>
    <col min="3074" max="3074" width="43.28515625" style="676" customWidth="1"/>
    <col min="3075" max="3075" width="12.5703125" style="676" customWidth="1"/>
    <col min="3076" max="3076" width="12.28515625" style="676" customWidth="1"/>
    <col min="3077" max="3077" width="10.28515625" style="676" bestFit="1" customWidth="1"/>
    <col min="3078" max="3078" width="19.42578125" style="676" customWidth="1"/>
    <col min="3079" max="3079" width="11.7109375" style="676" bestFit="1" customWidth="1"/>
    <col min="3080" max="3080" width="20.42578125" style="676" customWidth="1"/>
    <col min="3081" max="3081" width="12.28515625" style="676" bestFit="1" customWidth="1"/>
    <col min="3082" max="3082" width="11.28515625" style="676" bestFit="1" customWidth="1"/>
    <col min="3083" max="3328" width="9.28515625" style="676"/>
    <col min="3329" max="3329" width="3.5703125" style="676" customWidth="1"/>
    <col min="3330" max="3330" width="43.28515625" style="676" customWidth="1"/>
    <col min="3331" max="3331" width="12.5703125" style="676" customWidth="1"/>
    <col min="3332" max="3332" width="12.28515625" style="676" customWidth="1"/>
    <col min="3333" max="3333" width="10.28515625" style="676" bestFit="1" customWidth="1"/>
    <col min="3334" max="3334" width="19.42578125" style="676" customWidth="1"/>
    <col min="3335" max="3335" width="11.7109375" style="676" bestFit="1" customWidth="1"/>
    <col min="3336" max="3336" width="20.42578125" style="676" customWidth="1"/>
    <col min="3337" max="3337" width="12.28515625" style="676" bestFit="1" customWidth="1"/>
    <col min="3338" max="3338" width="11.28515625" style="676" bestFit="1" customWidth="1"/>
    <col min="3339" max="3584" width="9.28515625" style="676"/>
    <col min="3585" max="3585" width="3.5703125" style="676" customWidth="1"/>
    <col min="3586" max="3586" width="43.28515625" style="676" customWidth="1"/>
    <col min="3587" max="3587" width="12.5703125" style="676" customWidth="1"/>
    <col min="3588" max="3588" width="12.28515625" style="676" customWidth="1"/>
    <col min="3589" max="3589" width="10.28515625" style="676" bestFit="1" customWidth="1"/>
    <col min="3590" max="3590" width="19.42578125" style="676" customWidth="1"/>
    <col min="3591" max="3591" width="11.7109375" style="676" bestFit="1" customWidth="1"/>
    <col min="3592" max="3592" width="20.42578125" style="676" customWidth="1"/>
    <col min="3593" max="3593" width="12.28515625" style="676" bestFit="1" customWidth="1"/>
    <col min="3594" max="3594" width="11.28515625" style="676" bestFit="1" customWidth="1"/>
    <col min="3595" max="3840" width="9.28515625" style="676"/>
    <col min="3841" max="3841" width="3.5703125" style="676" customWidth="1"/>
    <col min="3842" max="3842" width="43.28515625" style="676" customWidth="1"/>
    <col min="3843" max="3843" width="12.5703125" style="676" customWidth="1"/>
    <col min="3844" max="3844" width="12.28515625" style="676" customWidth="1"/>
    <col min="3845" max="3845" width="10.28515625" style="676" bestFit="1" customWidth="1"/>
    <col min="3846" max="3846" width="19.42578125" style="676" customWidth="1"/>
    <col min="3847" max="3847" width="11.7109375" style="676" bestFit="1" customWidth="1"/>
    <col min="3848" max="3848" width="20.42578125" style="676" customWidth="1"/>
    <col min="3849" max="3849" width="12.28515625" style="676" bestFit="1" customWidth="1"/>
    <col min="3850" max="3850" width="11.28515625" style="676" bestFit="1" customWidth="1"/>
    <col min="3851" max="4096" width="9.28515625" style="676"/>
    <col min="4097" max="4097" width="3.5703125" style="676" customWidth="1"/>
    <col min="4098" max="4098" width="43.28515625" style="676" customWidth="1"/>
    <col min="4099" max="4099" width="12.5703125" style="676" customWidth="1"/>
    <col min="4100" max="4100" width="12.28515625" style="676" customWidth="1"/>
    <col min="4101" max="4101" width="10.28515625" style="676" bestFit="1" customWidth="1"/>
    <col min="4102" max="4102" width="19.42578125" style="676" customWidth="1"/>
    <col min="4103" max="4103" width="11.7109375" style="676" bestFit="1" customWidth="1"/>
    <col min="4104" max="4104" width="20.42578125" style="676" customWidth="1"/>
    <col min="4105" max="4105" width="12.28515625" style="676" bestFit="1" customWidth="1"/>
    <col min="4106" max="4106" width="11.28515625" style="676" bestFit="1" customWidth="1"/>
    <col min="4107" max="4352" width="9.28515625" style="676"/>
    <col min="4353" max="4353" width="3.5703125" style="676" customWidth="1"/>
    <col min="4354" max="4354" width="43.28515625" style="676" customWidth="1"/>
    <col min="4355" max="4355" width="12.5703125" style="676" customWidth="1"/>
    <col min="4356" max="4356" width="12.28515625" style="676" customWidth="1"/>
    <col min="4357" max="4357" width="10.28515625" style="676" bestFit="1" customWidth="1"/>
    <col min="4358" max="4358" width="19.42578125" style="676" customWidth="1"/>
    <col min="4359" max="4359" width="11.7109375" style="676" bestFit="1" customWidth="1"/>
    <col min="4360" max="4360" width="20.42578125" style="676" customWidth="1"/>
    <col min="4361" max="4361" width="12.28515625" style="676" bestFit="1" customWidth="1"/>
    <col min="4362" max="4362" width="11.28515625" style="676" bestFit="1" customWidth="1"/>
    <col min="4363" max="4608" width="9.28515625" style="676"/>
    <col min="4609" max="4609" width="3.5703125" style="676" customWidth="1"/>
    <col min="4610" max="4610" width="43.28515625" style="676" customWidth="1"/>
    <col min="4611" max="4611" width="12.5703125" style="676" customWidth="1"/>
    <col min="4612" max="4612" width="12.28515625" style="676" customWidth="1"/>
    <col min="4613" max="4613" width="10.28515625" style="676" bestFit="1" customWidth="1"/>
    <col min="4614" max="4614" width="19.42578125" style="676" customWidth="1"/>
    <col min="4615" max="4615" width="11.7109375" style="676" bestFit="1" customWidth="1"/>
    <col min="4616" max="4616" width="20.42578125" style="676" customWidth="1"/>
    <col min="4617" max="4617" width="12.28515625" style="676" bestFit="1" customWidth="1"/>
    <col min="4618" max="4618" width="11.28515625" style="676" bestFit="1" customWidth="1"/>
    <col min="4619" max="4864" width="9.28515625" style="676"/>
    <col min="4865" max="4865" width="3.5703125" style="676" customWidth="1"/>
    <col min="4866" max="4866" width="43.28515625" style="676" customWidth="1"/>
    <col min="4867" max="4867" width="12.5703125" style="676" customWidth="1"/>
    <col min="4868" max="4868" width="12.28515625" style="676" customWidth="1"/>
    <col min="4869" max="4869" width="10.28515625" style="676" bestFit="1" customWidth="1"/>
    <col min="4870" max="4870" width="19.42578125" style="676" customWidth="1"/>
    <col min="4871" max="4871" width="11.7109375" style="676" bestFit="1" customWidth="1"/>
    <col min="4872" max="4872" width="20.42578125" style="676" customWidth="1"/>
    <col min="4873" max="4873" width="12.28515625" style="676" bestFit="1" customWidth="1"/>
    <col min="4874" max="4874" width="11.28515625" style="676" bestFit="1" customWidth="1"/>
    <col min="4875" max="5120" width="9.28515625" style="676"/>
    <col min="5121" max="5121" width="3.5703125" style="676" customWidth="1"/>
    <col min="5122" max="5122" width="43.28515625" style="676" customWidth="1"/>
    <col min="5123" max="5123" width="12.5703125" style="676" customWidth="1"/>
    <col min="5124" max="5124" width="12.28515625" style="676" customWidth="1"/>
    <col min="5125" max="5125" width="10.28515625" style="676" bestFit="1" customWidth="1"/>
    <col min="5126" max="5126" width="19.42578125" style="676" customWidth="1"/>
    <col min="5127" max="5127" width="11.7109375" style="676" bestFit="1" customWidth="1"/>
    <col min="5128" max="5128" width="20.42578125" style="676" customWidth="1"/>
    <col min="5129" max="5129" width="12.28515625" style="676" bestFit="1" customWidth="1"/>
    <col min="5130" max="5130" width="11.28515625" style="676" bestFit="1" customWidth="1"/>
    <col min="5131" max="5376" width="9.28515625" style="676"/>
    <col min="5377" max="5377" width="3.5703125" style="676" customWidth="1"/>
    <col min="5378" max="5378" width="43.28515625" style="676" customWidth="1"/>
    <col min="5379" max="5379" width="12.5703125" style="676" customWidth="1"/>
    <col min="5380" max="5380" width="12.28515625" style="676" customWidth="1"/>
    <col min="5381" max="5381" width="10.28515625" style="676" bestFit="1" customWidth="1"/>
    <col min="5382" max="5382" width="19.42578125" style="676" customWidth="1"/>
    <col min="5383" max="5383" width="11.7109375" style="676" bestFit="1" customWidth="1"/>
    <col min="5384" max="5384" width="20.42578125" style="676" customWidth="1"/>
    <col min="5385" max="5385" width="12.28515625" style="676" bestFit="1" customWidth="1"/>
    <col min="5386" max="5386" width="11.28515625" style="676" bestFit="1" customWidth="1"/>
    <col min="5387" max="5632" width="9.28515625" style="676"/>
    <col min="5633" max="5633" width="3.5703125" style="676" customWidth="1"/>
    <col min="5634" max="5634" width="43.28515625" style="676" customWidth="1"/>
    <col min="5635" max="5635" width="12.5703125" style="676" customWidth="1"/>
    <col min="5636" max="5636" width="12.28515625" style="676" customWidth="1"/>
    <col min="5637" max="5637" width="10.28515625" style="676" bestFit="1" customWidth="1"/>
    <col min="5638" max="5638" width="19.42578125" style="676" customWidth="1"/>
    <col min="5639" max="5639" width="11.7109375" style="676" bestFit="1" customWidth="1"/>
    <col min="5640" max="5640" width="20.42578125" style="676" customWidth="1"/>
    <col min="5641" max="5641" width="12.28515625" style="676" bestFit="1" customWidth="1"/>
    <col min="5642" max="5642" width="11.28515625" style="676" bestFit="1" customWidth="1"/>
    <col min="5643" max="5888" width="9.28515625" style="676"/>
    <col min="5889" max="5889" width="3.5703125" style="676" customWidth="1"/>
    <col min="5890" max="5890" width="43.28515625" style="676" customWidth="1"/>
    <col min="5891" max="5891" width="12.5703125" style="676" customWidth="1"/>
    <col min="5892" max="5892" width="12.28515625" style="676" customWidth="1"/>
    <col min="5893" max="5893" width="10.28515625" style="676" bestFit="1" customWidth="1"/>
    <col min="5894" max="5894" width="19.42578125" style="676" customWidth="1"/>
    <col min="5895" max="5895" width="11.7109375" style="676" bestFit="1" customWidth="1"/>
    <col min="5896" max="5896" width="20.42578125" style="676" customWidth="1"/>
    <col min="5897" max="5897" width="12.28515625" style="676" bestFit="1" customWidth="1"/>
    <col min="5898" max="5898" width="11.28515625" style="676" bestFit="1" customWidth="1"/>
    <col min="5899" max="6144" width="9.28515625" style="676"/>
    <col min="6145" max="6145" width="3.5703125" style="676" customWidth="1"/>
    <col min="6146" max="6146" width="43.28515625" style="676" customWidth="1"/>
    <col min="6147" max="6147" width="12.5703125" style="676" customWidth="1"/>
    <col min="6148" max="6148" width="12.28515625" style="676" customWidth="1"/>
    <col min="6149" max="6149" width="10.28515625" style="676" bestFit="1" customWidth="1"/>
    <col min="6150" max="6150" width="19.42578125" style="676" customWidth="1"/>
    <col min="6151" max="6151" width="11.7109375" style="676" bestFit="1" customWidth="1"/>
    <col min="6152" max="6152" width="20.42578125" style="676" customWidth="1"/>
    <col min="6153" max="6153" width="12.28515625" style="676" bestFit="1" customWidth="1"/>
    <col min="6154" max="6154" width="11.28515625" style="676" bestFit="1" customWidth="1"/>
    <col min="6155" max="6400" width="9.28515625" style="676"/>
    <col min="6401" max="6401" width="3.5703125" style="676" customWidth="1"/>
    <col min="6402" max="6402" width="43.28515625" style="676" customWidth="1"/>
    <col min="6403" max="6403" width="12.5703125" style="676" customWidth="1"/>
    <col min="6404" max="6404" width="12.28515625" style="676" customWidth="1"/>
    <col min="6405" max="6405" width="10.28515625" style="676" bestFit="1" customWidth="1"/>
    <col min="6406" max="6406" width="19.42578125" style="676" customWidth="1"/>
    <col min="6407" max="6407" width="11.7109375" style="676" bestFit="1" customWidth="1"/>
    <col min="6408" max="6408" width="20.42578125" style="676" customWidth="1"/>
    <col min="6409" max="6409" width="12.28515625" style="676" bestFit="1" customWidth="1"/>
    <col min="6410" max="6410" width="11.28515625" style="676" bestFit="1" customWidth="1"/>
    <col min="6411" max="6656" width="9.28515625" style="676"/>
    <col min="6657" max="6657" width="3.5703125" style="676" customWidth="1"/>
    <col min="6658" max="6658" width="43.28515625" style="676" customWidth="1"/>
    <col min="6659" max="6659" width="12.5703125" style="676" customWidth="1"/>
    <col min="6660" max="6660" width="12.28515625" style="676" customWidth="1"/>
    <col min="6661" max="6661" width="10.28515625" style="676" bestFit="1" customWidth="1"/>
    <col min="6662" max="6662" width="19.42578125" style="676" customWidth="1"/>
    <col min="6663" max="6663" width="11.7109375" style="676" bestFit="1" customWidth="1"/>
    <col min="6664" max="6664" width="20.42578125" style="676" customWidth="1"/>
    <col min="6665" max="6665" width="12.28515625" style="676" bestFit="1" customWidth="1"/>
    <col min="6666" max="6666" width="11.28515625" style="676" bestFit="1" customWidth="1"/>
    <col min="6667" max="6912" width="9.28515625" style="676"/>
    <col min="6913" max="6913" width="3.5703125" style="676" customWidth="1"/>
    <col min="6914" max="6914" width="43.28515625" style="676" customWidth="1"/>
    <col min="6915" max="6915" width="12.5703125" style="676" customWidth="1"/>
    <col min="6916" max="6916" width="12.28515625" style="676" customWidth="1"/>
    <col min="6917" max="6917" width="10.28515625" style="676" bestFit="1" customWidth="1"/>
    <col min="6918" max="6918" width="19.42578125" style="676" customWidth="1"/>
    <col min="6919" max="6919" width="11.7109375" style="676" bestFit="1" customWidth="1"/>
    <col min="6920" max="6920" width="20.42578125" style="676" customWidth="1"/>
    <col min="6921" max="6921" width="12.28515625" style="676" bestFit="1" customWidth="1"/>
    <col min="6922" max="6922" width="11.28515625" style="676" bestFit="1" customWidth="1"/>
    <col min="6923" max="7168" width="9.28515625" style="676"/>
    <col min="7169" max="7169" width="3.5703125" style="676" customWidth="1"/>
    <col min="7170" max="7170" width="43.28515625" style="676" customWidth="1"/>
    <col min="7171" max="7171" width="12.5703125" style="676" customWidth="1"/>
    <col min="7172" max="7172" width="12.28515625" style="676" customWidth="1"/>
    <col min="7173" max="7173" width="10.28515625" style="676" bestFit="1" customWidth="1"/>
    <col min="7174" max="7174" width="19.42578125" style="676" customWidth="1"/>
    <col min="7175" max="7175" width="11.7109375" style="676" bestFit="1" customWidth="1"/>
    <col min="7176" max="7176" width="20.42578125" style="676" customWidth="1"/>
    <col min="7177" max="7177" width="12.28515625" style="676" bestFit="1" customWidth="1"/>
    <col min="7178" max="7178" width="11.28515625" style="676" bestFit="1" customWidth="1"/>
    <col min="7179" max="7424" width="9.28515625" style="676"/>
    <col min="7425" max="7425" width="3.5703125" style="676" customWidth="1"/>
    <col min="7426" max="7426" width="43.28515625" style="676" customWidth="1"/>
    <col min="7427" max="7427" width="12.5703125" style="676" customWidth="1"/>
    <col min="7428" max="7428" width="12.28515625" style="676" customWidth="1"/>
    <col min="7429" max="7429" width="10.28515625" style="676" bestFit="1" customWidth="1"/>
    <col min="7430" max="7430" width="19.42578125" style="676" customWidth="1"/>
    <col min="7431" max="7431" width="11.7109375" style="676" bestFit="1" customWidth="1"/>
    <col min="7432" max="7432" width="20.42578125" style="676" customWidth="1"/>
    <col min="7433" max="7433" width="12.28515625" style="676" bestFit="1" customWidth="1"/>
    <col min="7434" max="7434" width="11.28515625" style="676" bestFit="1" customWidth="1"/>
    <col min="7435" max="7680" width="9.28515625" style="676"/>
    <col min="7681" max="7681" width="3.5703125" style="676" customWidth="1"/>
    <col min="7682" max="7682" width="43.28515625" style="676" customWidth="1"/>
    <col min="7683" max="7683" width="12.5703125" style="676" customWidth="1"/>
    <col min="7684" max="7684" width="12.28515625" style="676" customWidth="1"/>
    <col min="7685" max="7685" width="10.28515625" style="676" bestFit="1" customWidth="1"/>
    <col min="7686" max="7686" width="19.42578125" style="676" customWidth="1"/>
    <col min="7687" max="7687" width="11.7109375" style="676" bestFit="1" customWidth="1"/>
    <col min="7688" max="7688" width="20.42578125" style="676" customWidth="1"/>
    <col min="7689" max="7689" width="12.28515625" style="676" bestFit="1" customWidth="1"/>
    <col min="7690" max="7690" width="11.28515625" style="676" bestFit="1" customWidth="1"/>
    <col min="7691" max="7936" width="9.28515625" style="676"/>
    <col min="7937" max="7937" width="3.5703125" style="676" customWidth="1"/>
    <col min="7938" max="7938" width="43.28515625" style="676" customWidth="1"/>
    <col min="7939" max="7939" width="12.5703125" style="676" customWidth="1"/>
    <col min="7940" max="7940" width="12.28515625" style="676" customWidth="1"/>
    <col min="7941" max="7941" width="10.28515625" style="676" bestFit="1" customWidth="1"/>
    <col min="7942" max="7942" width="19.42578125" style="676" customWidth="1"/>
    <col min="7943" max="7943" width="11.7109375" style="676" bestFit="1" customWidth="1"/>
    <col min="7944" max="7944" width="20.42578125" style="676" customWidth="1"/>
    <col min="7945" max="7945" width="12.28515625" style="676" bestFit="1" customWidth="1"/>
    <col min="7946" max="7946" width="11.28515625" style="676" bestFit="1" customWidth="1"/>
    <col min="7947" max="8192" width="9.28515625" style="676"/>
    <col min="8193" max="8193" width="3.5703125" style="676" customWidth="1"/>
    <col min="8194" max="8194" width="43.28515625" style="676" customWidth="1"/>
    <col min="8195" max="8195" width="12.5703125" style="676" customWidth="1"/>
    <col min="8196" max="8196" width="12.28515625" style="676" customWidth="1"/>
    <col min="8197" max="8197" width="10.28515625" style="676" bestFit="1" customWidth="1"/>
    <col min="8198" max="8198" width="19.42578125" style="676" customWidth="1"/>
    <col min="8199" max="8199" width="11.7109375" style="676" bestFit="1" customWidth="1"/>
    <col min="8200" max="8200" width="20.42578125" style="676" customWidth="1"/>
    <col min="8201" max="8201" width="12.28515625" style="676" bestFit="1" customWidth="1"/>
    <col min="8202" max="8202" width="11.28515625" style="676" bestFit="1" customWidth="1"/>
    <col min="8203" max="8448" width="9.28515625" style="676"/>
    <col min="8449" max="8449" width="3.5703125" style="676" customWidth="1"/>
    <col min="8450" max="8450" width="43.28515625" style="676" customWidth="1"/>
    <col min="8451" max="8451" width="12.5703125" style="676" customWidth="1"/>
    <col min="8452" max="8452" width="12.28515625" style="676" customWidth="1"/>
    <col min="8453" max="8453" width="10.28515625" style="676" bestFit="1" customWidth="1"/>
    <col min="8454" max="8454" width="19.42578125" style="676" customWidth="1"/>
    <col min="8455" max="8455" width="11.7109375" style="676" bestFit="1" customWidth="1"/>
    <col min="8456" max="8456" width="20.42578125" style="676" customWidth="1"/>
    <col min="8457" max="8457" width="12.28515625" style="676" bestFit="1" customWidth="1"/>
    <col min="8458" max="8458" width="11.28515625" style="676" bestFit="1" customWidth="1"/>
    <col min="8459" max="8704" width="9.28515625" style="676"/>
    <col min="8705" max="8705" width="3.5703125" style="676" customWidth="1"/>
    <col min="8706" max="8706" width="43.28515625" style="676" customWidth="1"/>
    <col min="8707" max="8707" width="12.5703125" style="676" customWidth="1"/>
    <col min="8708" max="8708" width="12.28515625" style="676" customWidth="1"/>
    <col min="8709" max="8709" width="10.28515625" style="676" bestFit="1" customWidth="1"/>
    <col min="8710" max="8710" width="19.42578125" style="676" customWidth="1"/>
    <col min="8711" max="8711" width="11.7109375" style="676" bestFit="1" customWidth="1"/>
    <col min="8712" max="8712" width="20.42578125" style="676" customWidth="1"/>
    <col min="8713" max="8713" width="12.28515625" style="676" bestFit="1" customWidth="1"/>
    <col min="8714" max="8714" width="11.28515625" style="676" bestFit="1" customWidth="1"/>
    <col min="8715" max="8960" width="9.28515625" style="676"/>
    <col min="8961" max="8961" width="3.5703125" style="676" customWidth="1"/>
    <col min="8962" max="8962" width="43.28515625" style="676" customWidth="1"/>
    <col min="8963" max="8963" width="12.5703125" style="676" customWidth="1"/>
    <col min="8964" max="8964" width="12.28515625" style="676" customWidth="1"/>
    <col min="8965" max="8965" width="10.28515625" style="676" bestFit="1" customWidth="1"/>
    <col min="8966" max="8966" width="19.42578125" style="676" customWidth="1"/>
    <col min="8967" max="8967" width="11.7109375" style="676" bestFit="1" customWidth="1"/>
    <col min="8968" max="8968" width="20.42578125" style="676" customWidth="1"/>
    <col min="8969" max="8969" width="12.28515625" style="676" bestFit="1" customWidth="1"/>
    <col min="8970" max="8970" width="11.28515625" style="676" bestFit="1" customWidth="1"/>
    <col min="8971" max="9216" width="9.28515625" style="676"/>
    <col min="9217" max="9217" width="3.5703125" style="676" customWidth="1"/>
    <col min="9218" max="9218" width="43.28515625" style="676" customWidth="1"/>
    <col min="9219" max="9219" width="12.5703125" style="676" customWidth="1"/>
    <col min="9220" max="9220" width="12.28515625" style="676" customWidth="1"/>
    <col min="9221" max="9221" width="10.28515625" style="676" bestFit="1" customWidth="1"/>
    <col min="9222" max="9222" width="19.42578125" style="676" customWidth="1"/>
    <col min="9223" max="9223" width="11.7109375" style="676" bestFit="1" customWidth="1"/>
    <col min="9224" max="9224" width="20.42578125" style="676" customWidth="1"/>
    <col min="9225" max="9225" width="12.28515625" style="676" bestFit="1" customWidth="1"/>
    <col min="9226" max="9226" width="11.28515625" style="676" bestFit="1" customWidth="1"/>
    <col min="9227" max="9472" width="9.28515625" style="676"/>
    <col min="9473" max="9473" width="3.5703125" style="676" customWidth="1"/>
    <col min="9474" max="9474" width="43.28515625" style="676" customWidth="1"/>
    <col min="9475" max="9475" width="12.5703125" style="676" customWidth="1"/>
    <col min="9476" max="9476" width="12.28515625" style="676" customWidth="1"/>
    <col min="9477" max="9477" width="10.28515625" style="676" bestFit="1" customWidth="1"/>
    <col min="9478" max="9478" width="19.42578125" style="676" customWidth="1"/>
    <col min="9479" max="9479" width="11.7109375" style="676" bestFit="1" customWidth="1"/>
    <col min="9480" max="9480" width="20.42578125" style="676" customWidth="1"/>
    <col min="9481" max="9481" width="12.28515625" style="676" bestFit="1" customWidth="1"/>
    <col min="9482" max="9482" width="11.28515625" style="676" bestFit="1" customWidth="1"/>
    <col min="9483" max="9728" width="9.28515625" style="676"/>
    <col min="9729" max="9729" width="3.5703125" style="676" customWidth="1"/>
    <col min="9730" max="9730" width="43.28515625" style="676" customWidth="1"/>
    <col min="9731" max="9731" width="12.5703125" style="676" customWidth="1"/>
    <col min="9732" max="9732" width="12.28515625" style="676" customWidth="1"/>
    <col min="9733" max="9733" width="10.28515625" style="676" bestFit="1" customWidth="1"/>
    <col min="9734" max="9734" width="19.42578125" style="676" customWidth="1"/>
    <col min="9735" max="9735" width="11.7109375" style="676" bestFit="1" customWidth="1"/>
    <col min="9736" max="9736" width="20.42578125" style="676" customWidth="1"/>
    <col min="9737" max="9737" width="12.28515625" style="676" bestFit="1" customWidth="1"/>
    <col min="9738" max="9738" width="11.28515625" style="676" bestFit="1" customWidth="1"/>
    <col min="9739" max="9984" width="9.28515625" style="676"/>
    <col min="9985" max="9985" width="3.5703125" style="676" customWidth="1"/>
    <col min="9986" max="9986" width="43.28515625" style="676" customWidth="1"/>
    <col min="9987" max="9987" width="12.5703125" style="676" customWidth="1"/>
    <col min="9988" max="9988" width="12.28515625" style="676" customWidth="1"/>
    <col min="9989" max="9989" width="10.28515625" style="676" bestFit="1" customWidth="1"/>
    <col min="9990" max="9990" width="19.42578125" style="676" customWidth="1"/>
    <col min="9991" max="9991" width="11.7109375" style="676" bestFit="1" customWidth="1"/>
    <col min="9992" max="9992" width="20.42578125" style="676" customWidth="1"/>
    <col min="9993" max="9993" width="12.28515625" style="676" bestFit="1" customWidth="1"/>
    <col min="9994" max="9994" width="11.28515625" style="676" bestFit="1" customWidth="1"/>
    <col min="9995" max="10240" width="9.28515625" style="676"/>
    <col min="10241" max="10241" width="3.5703125" style="676" customWidth="1"/>
    <col min="10242" max="10242" width="43.28515625" style="676" customWidth="1"/>
    <col min="10243" max="10243" width="12.5703125" style="676" customWidth="1"/>
    <col min="10244" max="10244" width="12.28515625" style="676" customWidth="1"/>
    <col min="10245" max="10245" width="10.28515625" style="676" bestFit="1" customWidth="1"/>
    <col min="10246" max="10246" width="19.42578125" style="676" customWidth="1"/>
    <col min="10247" max="10247" width="11.7109375" style="676" bestFit="1" customWidth="1"/>
    <col min="10248" max="10248" width="20.42578125" style="676" customWidth="1"/>
    <col min="10249" max="10249" width="12.28515625" style="676" bestFit="1" customWidth="1"/>
    <col min="10250" max="10250" width="11.28515625" style="676" bestFit="1" customWidth="1"/>
    <col min="10251" max="10496" width="9.28515625" style="676"/>
    <col min="10497" max="10497" width="3.5703125" style="676" customWidth="1"/>
    <col min="10498" max="10498" width="43.28515625" style="676" customWidth="1"/>
    <col min="10499" max="10499" width="12.5703125" style="676" customWidth="1"/>
    <col min="10500" max="10500" width="12.28515625" style="676" customWidth="1"/>
    <col min="10501" max="10501" width="10.28515625" style="676" bestFit="1" customWidth="1"/>
    <col min="10502" max="10502" width="19.42578125" style="676" customWidth="1"/>
    <col min="10503" max="10503" width="11.7109375" style="676" bestFit="1" customWidth="1"/>
    <col min="10504" max="10504" width="20.42578125" style="676" customWidth="1"/>
    <col min="10505" max="10505" width="12.28515625" style="676" bestFit="1" customWidth="1"/>
    <col min="10506" max="10506" width="11.28515625" style="676" bestFit="1" customWidth="1"/>
    <col min="10507" max="10752" width="9.28515625" style="676"/>
    <col min="10753" max="10753" width="3.5703125" style="676" customWidth="1"/>
    <col min="10754" max="10754" width="43.28515625" style="676" customWidth="1"/>
    <col min="10755" max="10755" width="12.5703125" style="676" customWidth="1"/>
    <col min="10756" max="10756" width="12.28515625" style="676" customWidth="1"/>
    <col min="10757" max="10757" width="10.28515625" style="676" bestFit="1" customWidth="1"/>
    <col min="10758" max="10758" width="19.42578125" style="676" customWidth="1"/>
    <col min="10759" max="10759" width="11.7109375" style="676" bestFit="1" customWidth="1"/>
    <col min="10760" max="10760" width="20.42578125" style="676" customWidth="1"/>
    <col min="10761" max="10761" width="12.28515625" style="676" bestFit="1" customWidth="1"/>
    <col min="10762" max="10762" width="11.28515625" style="676" bestFit="1" customWidth="1"/>
    <col min="10763" max="11008" width="9.28515625" style="676"/>
    <col min="11009" max="11009" width="3.5703125" style="676" customWidth="1"/>
    <col min="11010" max="11010" width="43.28515625" style="676" customWidth="1"/>
    <col min="11011" max="11011" width="12.5703125" style="676" customWidth="1"/>
    <col min="11012" max="11012" width="12.28515625" style="676" customWidth="1"/>
    <col min="11013" max="11013" width="10.28515625" style="676" bestFit="1" customWidth="1"/>
    <col min="11014" max="11014" width="19.42578125" style="676" customWidth="1"/>
    <col min="11015" max="11015" width="11.7109375" style="676" bestFit="1" customWidth="1"/>
    <col min="11016" max="11016" width="20.42578125" style="676" customWidth="1"/>
    <col min="11017" max="11017" width="12.28515625" style="676" bestFit="1" customWidth="1"/>
    <col min="11018" max="11018" width="11.28515625" style="676" bestFit="1" customWidth="1"/>
    <col min="11019" max="11264" width="9.28515625" style="676"/>
    <col min="11265" max="11265" width="3.5703125" style="676" customWidth="1"/>
    <col min="11266" max="11266" width="43.28515625" style="676" customWidth="1"/>
    <col min="11267" max="11267" width="12.5703125" style="676" customWidth="1"/>
    <col min="11268" max="11268" width="12.28515625" style="676" customWidth="1"/>
    <col min="11269" max="11269" width="10.28515625" style="676" bestFit="1" customWidth="1"/>
    <col min="11270" max="11270" width="19.42578125" style="676" customWidth="1"/>
    <col min="11271" max="11271" width="11.7109375" style="676" bestFit="1" customWidth="1"/>
    <col min="11272" max="11272" width="20.42578125" style="676" customWidth="1"/>
    <col min="11273" max="11273" width="12.28515625" style="676" bestFit="1" customWidth="1"/>
    <col min="11274" max="11274" width="11.28515625" style="676" bestFit="1" customWidth="1"/>
    <col min="11275" max="11520" width="9.28515625" style="676"/>
    <col min="11521" max="11521" width="3.5703125" style="676" customWidth="1"/>
    <col min="11522" max="11522" width="43.28515625" style="676" customWidth="1"/>
    <col min="11523" max="11523" width="12.5703125" style="676" customWidth="1"/>
    <col min="11524" max="11524" width="12.28515625" style="676" customWidth="1"/>
    <col min="11525" max="11525" width="10.28515625" style="676" bestFit="1" customWidth="1"/>
    <col min="11526" max="11526" width="19.42578125" style="676" customWidth="1"/>
    <col min="11527" max="11527" width="11.7109375" style="676" bestFit="1" customWidth="1"/>
    <col min="11528" max="11528" width="20.42578125" style="676" customWidth="1"/>
    <col min="11529" max="11529" width="12.28515625" style="676" bestFit="1" customWidth="1"/>
    <col min="11530" max="11530" width="11.28515625" style="676" bestFit="1" customWidth="1"/>
    <col min="11531" max="11776" width="9.28515625" style="676"/>
    <col min="11777" max="11777" width="3.5703125" style="676" customWidth="1"/>
    <col min="11778" max="11778" width="43.28515625" style="676" customWidth="1"/>
    <col min="11779" max="11779" width="12.5703125" style="676" customWidth="1"/>
    <col min="11780" max="11780" width="12.28515625" style="676" customWidth="1"/>
    <col min="11781" max="11781" width="10.28515625" style="676" bestFit="1" customWidth="1"/>
    <col min="11782" max="11782" width="19.42578125" style="676" customWidth="1"/>
    <col min="11783" max="11783" width="11.7109375" style="676" bestFit="1" customWidth="1"/>
    <col min="11784" max="11784" width="20.42578125" style="676" customWidth="1"/>
    <col min="11785" max="11785" width="12.28515625" style="676" bestFit="1" customWidth="1"/>
    <col min="11786" max="11786" width="11.28515625" style="676" bestFit="1" customWidth="1"/>
    <col min="11787" max="12032" width="9.28515625" style="676"/>
    <col min="12033" max="12033" width="3.5703125" style="676" customWidth="1"/>
    <col min="12034" max="12034" width="43.28515625" style="676" customWidth="1"/>
    <col min="12035" max="12035" width="12.5703125" style="676" customWidth="1"/>
    <col min="12036" max="12036" width="12.28515625" style="676" customWidth="1"/>
    <col min="12037" max="12037" width="10.28515625" style="676" bestFit="1" customWidth="1"/>
    <col min="12038" max="12038" width="19.42578125" style="676" customWidth="1"/>
    <col min="12039" max="12039" width="11.7109375" style="676" bestFit="1" customWidth="1"/>
    <col min="12040" max="12040" width="20.42578125" style="676" customWidth="1"/>
    <col min="12041" max="12041" width="12.28515625" style="676" bestFit="1" customWidth="1"/>
    <col min="12042" max="12042" width="11.28515625" style="676" bestFit="1" customWidth="1"/>
    <col min="12043" max="12288" width="9.28515625" style="676"/>
    <col min="12289" max="12289" width="3.5703125" style="676" customWidth="1"/>
    <col min="12290" max="12290" width="43.28515625" style="676" customWidth="1"/>
    <col min="12291" max="12291" width="12.5703125" style="676" customWidth="1"/>
    <col min="12292" max="12292" width="12.28515625" style="676" customWidth="1"/>
    <col min="12293" max="12293" width="10.28515625" style="676" bestFit="1" customWidth="1"/>
    <col min="12294" max="12294" width="19.42578125" style="676" customWidth="1"/>
    <col min="12295" max="12295" width="11.7109375" style="676" bestFit="1" customWidth="1"/>
    <col min="12296" max="12296" width="20.42578125" style="676" customWidth="1"/>
    <col min="12297" max="12297" width="12.28515625" style="676" bestFit="1" customWidth="1"/>
    <col min="12298" max="12298" width="11.28515625" style="676" bestFit="1" customWidth="1"/>
    <col min="12299" max="12544" width="9.28515625" style="676"/>
    <col min="12545" max="12545" width="3.5703125" style="676" customWidth="1"/>
    <col min="12546" max="12546" width="43.28515625" style="676" customWidth="1"/>
    <col min="12547" max="12547" width="12.5703125" style="676" customWidth="1"/>
    <col min="12548" max="12548" width="12.28515625" style="676" customWidth="1"/>
    <col min="12549" max="12549" width="10.28515625" style="676" bestFit="1" customWidth="1"/>
    <col min="12550" max="12550" width="19.42578125" style="676" customWidth="1"/>
    <col min="12551" max="12551" width="11.7109375" style="676" bestFit="1" customWidth="1"/>
    <col min="12552" max="12552" width="20.42578125" style="676" customWidth="1"/>
    <col min="12553" max="12553" width="12.28515625" style="676" bestFit="1" customWidth="1"/>
    <col min="12554" max="12554" width="11.28515625" style="676" bestFit="1" customWidth="1"/>
    <col min="12555" max="12800" width="9.28515625" style="676"/>
    <col min="12801" max="12801" width="3.5703125" style="676" customWidth="1"/>
    <col min="12802" max="12802" width="43.28515625" style="676" customWidth="1"/>
    <col min="12803" max="12803" width="12.5703125" style="676" customWidth="1"/>
    <col min="12804" max="12804" width="12.28515625" style="676" customWidth="1"/>
    <col min="12805" max="12805" width="10.28515625" style="676" bestFit="1" customWidth="1"/>
    <col min="12806" max="12806" width="19.42578125" style="676" customWidth="1"/>
    <col min="12807" max="12807" width="11.7109375" style="676" bestFit="1" customWidth="1"/>
    <col min="12808" max="12808" width="20.42578125" style="676" customWidth="1"/>
    <col min="12809" max="12809" width="12.28515625" style="676" bestFit="1" customWidth="1"/>
    <col min="12810" max="12810" width="11.28515625" style="676" bestFit="1" customWidth="1"/>
    <col min="12811" max="13056" width="9.28515625" style="676"/>
    <col min="13057" max="13057" width="3.5703125" style="676" customWidth="1"/>
    <col min="13058" max="13058" width="43.28515625" style="676" customWidth="1"/>
    <col min="13059" max="13059" width="12.5703125" style="676" customWidth="1"/>
    <col min="13060" max="13060" width="12.28515625" style="676" customWidth="1"/>
    <col min="13061" max="13061" width="10.28515625" style="676" bestFit="1" customWidth="1"/>
    <col min="13062" max="13062" width="19.42578125" style="676" customWidth="1"/>
    <col min="13063" max="13063" width="11.7109375" style="676" bestFit="1" customWidth="1"/>
    <col min="13064" max="13064" width="20.42578125" style="676" customWidth="1"/>
    <col min="13065" max="13065" width="12.28515625" style="676" bestFit="1" customWidth="1"/>
    <col min="13066" max="13066" width="11.28515625" style="676" bestFit="1" customWidth="1"/>
    <col min="13067" max="13312" width="9.28515625" style="676"/>
    <col min="13313" max="13313" width="3.5703125" style="676" customWidth="1"/>
    <col min="13314" max="13314" width="43.28515625" style="676" customWidth="1"/>
    <col min="13315" max="13315" width="12.5703125" style="676" customWidth="1"/>
    <col min="13316" max="13316" width="12.28515625" style="676" customWidth="1"/>
    <col min="13317" max="13317" width="10.28515625" style="676" bestFit="1" customWidth="1"/>
    <col min="13318" max="13318" width="19.42578125" style="676" customWidth="1"/>
    <col min="13319" max="13319" width="11.7109375" style="676" bestFit="1" customWidth="1"/>
    <col min="13320" max="13320" width="20.42578125" style="676" customWidth="1"/>
    <col min="13321" max="13321" width="12.28515625" style="676" bestFit="1" customWidth="1"/>
    <col min="13322" max="13322" width="11.28515625" style="676" bestFit="1" customWidth="1"/>
    <col min="13323" max="13568" width="9.28515625" style="676"/>
    <col min="13569" max="13569" width="3.5703125" style="676" customWidth="1"/>
    <col min="13570" max="13570" width="43.28515625" style="676" customWidth="1"/>
    <col min="13571" max="13571" width="12.5703125" style="676" customWidth="1"/>
    <col min="13572" max="13572" width="12.28515625" style="676" customWidth="1"/>
    <col min="13573" max="13573" width="10.28515625" style="676" bestFit="1" customWidth="1"/>
    <col min="13574" max="13574" width="19.42578125" style="676" customWidth="1"/>
    <col min="13575" max="13575" width="11.7109375" style="676" bestFit="1" customWidth="1"/>
    <col min="13576" max="13576" width="20.42578125" style="676" customWidth="1"/>
    <col min="13577" max="13577" width="12.28515625" style="676" bestFit="1" customWidth="1"/>
    <col min="13578" max="13578" width="11.28515625" style="676" bestFit="1" customWidth="1"/>
    <col min="13579" max="13824" width="9.28515625" style="676"/>
    <col min="13825" max="13825" width="3.5703125" style="676" customWidth="1"/>
    <col min="13826" max="13826" width="43.28515625" style="676" customWidth="1"/>
    <col min="13827" max="13827" width="12.5703125" style="676" customWidth="1"/>
    <col min="13828" max="13828" width="12.28515625" style="676" customWidth="1"/>
    <col min="13829" max="13829" width="10.28515625" style="676" bestFit="1" customWidth="1"/>
    <col min="13830" max="13830" width="19.42578125" style="676" customWidth="1"/>
    <col min="13831" max="13831" width="11.7109375" style="676" bestFit="1" customWidth="1"/>
    <col min="13832" max="13832" width="20.42578125" style="676" customWidth="1"/>
    <col min="13833" max="13833" width="12.28515625" style="676" bestFit="1" customWidth="1"/>
    <col min="13834" max="13834" width="11.28515625" style="676" bestFit="1" customWidth="1"/>
    <col min="13835" max="14080" width="9.28515625" style="676"/>
    <col min="14081" max="14081" width="3.5703125" style="676" customWidth="1"/>
    <col min="14082" max="14082" width="43.28515625" style="676" customWidth="1"/>
    <col min="14083" max="14083" width="12.5703125" style="676" customWidth="1"/>
    <col min="14084" max="14084" width="12.28515625" style="676" customWidth="1"/>
    <col min="14085" max="14085" width="10.28515625" style="676" bestFit="1" customWidth="1"/>
    <col min="14086" max="14086" width="19.42578125" style="676" customWidth="1"/>
    <col min="14087" max="14087" width="11.7109375" style="676" bestFit="1" customWidth="1"/>
    <col min="14088" max="14088" width="20.42578125" style="676" customWidth="1"/>
    <col min="14089" max="14089" width="12.28515625" style="676" bestFit="1" customWidth="1"/>
    <col min="14090" max="14090" width="11.28515625" style="676" bestFit="1" customWidth="1"/>
    <col min="14091" max="14336" width="9.28515625" style="676"/>
    <col min="14337" max="14337" width="3.5703125" style="676" customWidth="1"/>
    <col min="14338" max="14338" width="43.28515625" style="676" customWidth="1"/>
    <col min="14339" max="14339" width="12.5703125" style="676" customWidth="1"/>
    <col min="14340" max="14340" width="12.28515625" style="676" customWidth="1"/>
    <col min="14341" max="14341" width="10.28515625" style="676" bestFit="1" customWidth="1"/>
    <col min="14342" max="14342" width="19.42578125" style="676" customWidth="1"/>
    <col min="14343" max="14343" width="11.7109375" style="676" bestFit="1" customWidth="1"/>
    <col min="14344" max="14344" width="20.42578125" style="676" customWidth="1"/>
    <col min="14345" max="14345" width="12.28515625" style="676" bestFit="1" customWidth="1"/>
    <col min="14346" max="14346" width="11.28515625" style="676" bestFit="1" customWidth="1"/>
    <col min="14347" max="14592" width="9.28515625" style="676"/>
    <col min="14593" max="14593" width="3.5703125" style="676" customWidth="1"/>
    <col min="14594" max="14594" width="43.28515625" style="676" customWidth="1"/>
    <col min="14595" max="14595" width="12.5703125" style="676" customWidth="1"/>
    <col min="14596" max="14596" width="12.28515625" style="676" customWidth="1"/>
    <col min="14597" max="14597" width="10.28515625" style="676" bestFit="1" customWidth="1"/>
    <col min="14598" max="14598" width="19.42578125" style="676" customWidth="1"/>
    <col min="14599" max="14599" width="11.7109375" style="676" bestFit="1" customWidth="1"/>
    <col min="14600" max="14600" width="20.42578125" style="676" customWidth="1"/>
    <col min="14601" max="14601" width="12.28515625" style="676" bestFit="1" customWidth="1"/>
    <col min="14602" max="14602" width="11.28515625" style="676" bestFit="1" customWidth="1"/>
    <col min="14603" max="14848" width="9.28515625" style="676"/>
    <col min="14849" max="14849" width="3.5703125" style="676" customWidth="1"/>
    <col min="14850" max="14850" width="43.28515625" style="676" customWidth="1"/>
    <col min="14851" max="14851" width="12.5703125" style="676" customWidth="1"/>
    <col min="14852" max="14852" width="12.28515625" style="676" customWidth="1"/>
    <col min="14853" max="14853" width="10.28515625" style="676" bestFit="1" customWidth="1"/>
    <col min="14854" max="14854" width="19.42578125" style="676" customWidth="1"/>
    <col min="14855" max="14855" width="11.7109375" style="676" bestFit="1" customWidth="1"/>
    <col min="14856" max="14856" width="20.42578125" style="676" customWidth="1"/>
    <col min="14857" max="14857" width="12.28515625" style="676" bestFit="1" customWidth="1"/>
    <col min="14858" max="14858" width="11.28515625" style="676" bestFit="1" customWidth="1"/>
    <col min="14859" max="15104" width="9.28515625" style="676"/>
    <col min="15105" max="15105" width="3.5703125" style="676" customWidth="1"/>
    <col min="15106" max="15106" width="43.28515625" style="676" customWidth="1"/>
    <col min="15107" max="15107" width="12.5703125" style="676" customWidth="1"/>
    <col min="15108" max="15108" width="12.28515625" style="676" customWidth="1"/>
    <col min="15109" max="15109" width="10.28515625" style="676" bestFit="1" customWidth="1"/>
    <col min="15110" max="15110" width="19.42578125" style="676" customWidth="1"/>
    <col min="15111" max="15111" width="11.7109375" style="676" bestFit="1" customWidth="1"/>
    <col min="15112" max="15112" width="20.42578125" style="676" customWidth="1"/>
    <col min="15113" max="15113" width="12.28515625" style="676" bestFit="1" customWidth="1"/>
    <col min="15114" max="15114" width="11.28515625" style="676" bestFit="1" customWidth="1"/>
    <col min="15115" max="15360" width="9.28515625" style="676"/>
    <col min="15361" max="15361" width="3.5703125" style="676" customWidth="1"/>
    <col min="15362" max="15362" width="43.28515625" style="676" customWidth="1"/>
    <col min="15363" max="15363" width="12.5703125" style="676" customWidth="1"/>
    <col min="15364" max="15364" width="12.28515625" style="676" customWidth="1"/>
    <col min="15365" max="15365" width="10.28515625" style="676" bestFit="1" customWidth="1"/>
    <col min="15366" max="15366" width="19.42578125" style="676" customWidth="1"/>
    <col min="15367" max="15367" width="11.7109375" style="676" bestFit="1" customWidth="1"/>
    <col min="15368" max="15368" width="20.42578125" style="676" customWidth="1"/>
    <col min="15369" max="15369" width="12.28515625" style="676" bestFit="1" customWidth="1"/>
    <col min="15370" max="15370" width="11.28515625" style="676" bestFit="1" customWidth="1"/>
    <col min="15371" max="15616" width="9.28515625" style="676"/>
    <col min="15617" max="15617" width="3.5703125" style="676" customWidth="1"/>
    <col min="15618" max="15618" width="43.28515625" style="676" customWidth="1"/>
    <col min="15619" max="15619" width="12.5703125" style="676" customWidth="1"/>
    <col min="15620" max="15620" width="12.28515625" style="676" customWidth="1"/>
    <col min="15621" max="15621" width="10.28515625" style="676" bestFit="1" customWidth="1"/>
    <col min="15622" max="15622" width="19.42578125" style="676" customWidth="1"/>
    <col min="15623" max="15623" width="11.7109375" style="676" bestFit="1" customWidth="1"/>
    <col min="15624" max="15624" width="20.42578125" style="676" customWidth="1"/>
    <col min="15625" max="15625" width="12.28515625" style="676" bestFit="1" customWidth="1"/>
    <col min="15626" max="15626" width="11.28515625" style="676" bestFit="1" customWidth="1"/>
    <col min="15627" max="15872" width="9.28515625" style="676"/>
    <col min="15873" max="15873" width="3.5703125" style="676" customWidth="1"/>
    <col min="15874" max="15874" width="43.28515625" style="676" customWidth="1"/>
    <col min="15875" max="15875" width="12.5703125" style="676" customWidth="1"/>
    <col min="15876" max="15876" width="12.28515625" style="676" customWidth="1"/>
    <col min="15877" max="15877" width="10.28515625" style="676" bestFit="1" customWidth="1"/>
    <col min="15878" max="15878" width="19.42578125" style="676" customWidth="1"/>
    <col min="15879" max="15879" width="11.7109375" style="676" bestFit="1" customWidth="1"/>
    <col min="15880" max="15880" width="20.42578125" style="676" customWidth="1"/>
    <col min="15881" max="15881" width="12.28515625" style="676" bestFit="1" customWidth="1"/>
    <col min="15882" max="15882" width="11.28515625" style="676" bestFit="1" customWidth="1"/>
    <col min="15883" max="16128" width="9.28515625" style="676"/>
    <col min="16129" max="16129" width="3.5703125" style="676" customWidth="1"/>
    <col min="16130" max="16130" width="43.28515625" style="676" customWidth="1"/>
    <col min="16131" max="16131" width="12.5703125" style="676" customWidth="1"/>
    <col min="16132" max="16132" width="12.28515625" style="676" customWidth="1"/>
    <col min="16133" max="16133" width="10.28515625" style="676" bestFit="1" customWidth="1"/>
    <col min="16134" max="16134" width="19.42578125" style="676" customWidth="1"/>
    <col min="16135" max="16135" width="11.7109375" style="676" bestFit="1" customWidth="1"/>
    <col min="16136" max="16136" width="20.42578125" style="676" customWidth="1"/>
    <col min="16137" max="16137" width="12.28515625" style="676" bestFit="1" customWidth="1"/>
    <col min="16138" max="16138" width="11.28515625" style="676" bestFit="1" customWidth="1"/>
    <col min="16139" max="16384" width="9.28515625" style="676"/>
  </cols>
  <sheetData>
    <row r="1" spans="1:10" ht="28.15" customHeight="1" x14ac:dyDescent="0.25">
      <c r="A1" s="1115" t="s">
        <v>573</v>
      </c>
      <c r="B1" s="1115"/>
      <c r="C1" s="1115"/>
      <c r="D1" s="1115"/>
      <c r="E1" s="1115"/>
      <c r="F1" s="1115"/>
    </row>
    <row r="2" spans="1:10" ht="15.75" x14ac:dyDescent="0.25">
      <c r="A2" s="1115" t="s">
        <v>773</v>
      </c>
      <c r="B2" s="1115"/>
      <c r="C2" s="1115"/>
      <c r="D2" s="1115"/>
      <c r="E2" s="1115"/>
      <c r="F2" s="1115"/>
    </row>
    <row r="3" spans="1:10" x14ac:dyDescent="0.2">
      <c r="A3" s="677"/>
      <c r="B3" s="677"/>
      <c r="C3" s="678"/>
      <c r="D3" s="677"/>
      <c r="E3" s="833"/>
      <c r="F3" s="677"/>
    </row>
    <row r="4" spans="1:10" ht="13.5" thickBot="1" x14ac:dyDescent="0.25">
      <c r="A4" s="834"/>
      <c r="B4" s="835"/>
      <c r="C4" s="835"/>
      <c r="D4" s="835"/>
      <c r="E4" s="836"/>
      <c r="F4" s="835"/>
      <c r="I4" s="837" t="s">
        <v>574</v>
      </c>
    </row>
    <row r="5" spans="1:10" s="680" customFormat="1" ht="13.15" customHeight="1" x14ac:dyDescent="0.2">
      <c r="A5" s="1116" t="s">
        <v>575</v>
      </c>
      <c r="B5" s="1118" t="s">
        <v>576</v>
      </c>
      <c r="C5" s="1120" t="s">
        <v>102</v>
      </c>
      <c r="D5" s="1123" t="s">
        <v>169</v>
      </c>
      <c r="E5" s="1123" t="s">
        <v>100</v>
      </c>
      <c r="F5" s="1123" t="s">
        <v>101</v>
      </c>
      <c r="G5" s="838"/>
      <c r="H5" s="838"/>
      <c r="I5" s="679"/>
      <c r="J5" s="839"/>
    </row>
    <row r="6" spans="1:10" s="680" customFormat="1" x14ac:dyDescent="0.2">
      <c r="A6" s="1117"/>
      <c r="B6" s="1119"/>
      <c r="C6" s="1121"/>
      <c r="D6" s="1124"/>
      <c r="E6" s="1124"/>
      <c r="F6" s="1124"/>
      <c r="G6" s="838"/>
      <c r="H6" s="838"/>
      <c r="I6" s="679"/>
      <c r="J6" s="839"/>
    </row>
    <row r="7" spans="1:10" s="680" customFormat="1" x14ac:dyDescent="0.2">
      <c r="A7" s="1117"/>
      <c r="B7" s="1119"/>
      <c r="C7" s="1122"/>
      <c r="D7" s="700" t="s">
        <v>427</v>
      </c>
      <c r="E7" s="700" t="s">
        <v>427</v>
      </c>
      <c r="F7" s="700" t="s">
        <v>427</v>
      </c>
      <c r="G7" s="838"/>
      <c r="H7" s="838"/>
      <c r="I7" s="679"/>
      <c r="J7" s="839"/>
    </row>
    <row r="8" spans="1:10" s="684" customFormat="1" ht="12" x14ac:dyDescent="0.2">
      <c r="A8" s="699" t="s">
        <v>577</v>
      </c>
      <c r="B8" s="681">
        <v>1</v>
      </c>
      <c r="C8" s="682" t="s">
        <v>578</v>
      </c>
      <c r="D8" s="681">
        <v>3</v>
      </c>
      <c r="E8" s="682" t="s">
        <v>579</v>
      </c>
      <c r="F8" s="681">
        <v>5</v>
      </c>
      <c r="G8" s="838"/>
      <c r="H8" s="838"/>
      <c r="I8" s="683"/>
      <c r="J8" s="840"/>
    </row>
    <row r="9" spans="1:10" s="684" customFormat="1" ht="12" x14ac:dyDescent="0.2">
      <c r="A9" s="841"/>
      <c r="B9" s="685" t="s">
        <v>774</v>
      </c>
      <c r="C9" s="686"/>
      <c r="D9" s="687"/>
      <c r="E9" s="687"/>
      <c r="F9" s="687"/>
      <c r="G9" s="838"/>
      <c r="H9" s="838"/>
      <c r="I9" s="683"/>
      <c r="J9" s="840"/>
    </row>
    <row r="10" spans="1:10" s="690" customFormat="1" ht="12" x14ac:dyDescent="0.2">
      <c r="A10" s="842" t="s">
        <v>619</v>
      </c>
      <c r="B10" s="688" t="s">
        <v>620</v>
      </c>
      <c r="C10" s="843">
        <f>D10+E10+F10</f>
        <v>74270</v>
      </c>
      <c r="D10" s="689">
        <f>15*9*I10</f>
        <v>40500</v>
      </c>
      <c r="E10" s="689">
        <f>F10*0.1</f>
        <v>3070</v>
      </c>
      <c r="F10" s="689">
        <f>Echip.tehn_Belin!H6</f>
        <v>30700</v>
      </c>
      <c r="G10" s="844" t="s">
        <v>621</v>
      </c>
      <c r="I10" s="845">
        <v>300</v>
      </c>
      <c r="J10" s="846" t="s">
        <v>582</v>
      </c>
    </row>
    <row r="11" spans="1:10" s="690" customFormat="1" ht="12" x14ac:dyDescent="0.2">
      <c r="A11" s="842" t="s">
        <v>578</v>
      </c>
      <c r="B11" s="688" t="s">
        <v>622</v>
      </c>
      <c r="C11" s="843">
        <f t="shared" ref="C11:C38" si="0">D11+E11+F11</f>
        <v>18301.400000000001</v>
      </c>
      <c r="D11" s="689">
        <f>6*I11</f>
        <v>1500</v>
      </c>
      <c r="E11" s="689">
        <f t="shared" ref="E11:E38" si="1">F11*0.1</f>
        <v>1527.4</v>
      </c>
      <c r="F11" s="689">
        <f>Echip.tehn_Belin!H13</f>
        <v>15274</v>
      </c>
      <c r="G11" s="844"/>
      <c r="I11" s="845">
        <v>250</v>
      </c>
      <c r="J11" s="846" t="s">
        <v>580</v>
      </c>
    </row>
    <row r="12" spans="1:10" s="690" customFormat="1" ht="12" x14ac:dyDescent="0.2">
      <c r="A12" s="842" t="s">
        <v>623</v>
      </c>
      <c r="B12" s="688" t="s">
        <v>624</v>
      </c>
      <c r="C12" s="843">
        <f t="shared" si="0"/>
        <v>68983.199999999997</v>
      </c>
      <c r="D12" s="689">
        <v>0</v>
      </c>
      <c r="E12" s="689">
        <f t="shared" si="1"/>
        <v>6271.2000000000007</v>
      </c>
      <c r="F12" s="689">
        <f>Echip.tehn_Belin!H18</f>
        <v>62712</v>
      </c>
      <c r="G12" s="844" t="s">
        <v>625</v>
      </c>
      <c r="I12" s="845"/>
      <c r="J12" s="847"/>
    </row>
    <row r="13" spans="1:10" s="690" customFormat="1" ht="12" x14ac:dyDescent="0.2">
      <c r="A13" s="842" t="s">
        <v>579</v>
      </c>
      <c r="B13" s="688" t="s">
        <v>626</v>
      </c>
      <c r="C13" s="843">
        <f t="shared" si="0"/>
        <v>33726.400000000001</v>
      </c>
      <c r="D13" s="689">
        <f>81*I13</f>
        <v>14175</v>
      </c>
      <c r="E13" s="689">
        <f t="shared" si="1"/>
        <v>1777.4</v>
      </c>
      <c r="F13" s="689">
        <f>Echip.tehn_Belin!H23</f>
        <v>17774</v>
      </c>
      <c r="I13" s="845">
        <v>175</v>
      </c>
      <c r="J13" s="846" t="s">
        <v>580</v>
      </c>
    </row>
    <row r="14" spans="1:10" s="690" customFormat="1" ht="12" x14ac:dyDescent="0.2">
      <c r="A14" s="842" t="s">
        <v>627</v>
      </c>
      <c r="B14" s="688" t="s">
        <v>628</v>
      </c>
      <c r="C14" s="843">
        <f t="shared" si="0"/>
        <v>253681</v>
      </c>
      <c r="D14" s="689">
        <f>457*2*I14</f>
        <v>159950</v>
      </c>
      <c r="E14" s="689">
        <f t="shared" si="1"/>
        <v>8521</v>
      </c>
      <c r="F14" s="689">
        <f>Echip.tehn_Belin!H28</f>
        <v>85210</v>
      </c>
      <c r="I14" s="845">
        <v>175</v>
      </c>
      <c r="J14" s="846" t="s">
        <v>580</v>
      </c>
    </row>
    <row r="15" spans="1:10" s="690" customFormat="1" ht="12" x14ac:dyDescent="0.2">
      <c r="A15" s="842" t="s">
        <v>629</v>
      </c>
      <c r="B15" s="688" t="s">
        <v>581</v>
      </c>
      <c r="C15" s="843">
        <f t="shared" si="0"/>
        <v>26439</v>
      </c>
      <c r="D15" s="689">
        <f>24*I15</f>
        <v>7200</v>
      </c>
      <c r="E15" s="689">
        <f t="shared" si="1"/>
        <v>1749</v>
      </c>
      <c r="F15" s="689">
        <f>Echip.tehn_Belin!H42</f>
        <v>17490</v>
      </c>
      <c r="I15" s="845">
        <v>300</v>
      </c>
      <c r="J15" s="846" t="s">
        <v>582</v>
      </c>
    </row>
    <row r="16" spans="1:10" s="690" customFormat="1" ht="12" x14ac:dyDescent="0.2">
      <c r="A16" s="842" t="s">
        <v>630</v>
      </c>
      <c r="B16" s="688" t="s">
        <v>631</v>
      </c>
      <c r="C16" s="843">
        <f t="shared" si="0"/>
        <v>7150</v>
      </c>
      <c r="D16" s="689">
        <v>0</v>
      </c>
      <c r="E16" s="689">
        <f t="shared" si="1"/>
        <v>650</v>
      </c>
      <c r="F16" s="689">
        <f>Echip.tehn_Belin!H34</f>
        <v>6500</v>
      </c>
      <c r="G16" s="844" t="s">
        <v>625</v>
      </c>
      <c r="I16" s="845"/>
      <c r="J16" s="846"/>
    </row>
    <row r="17" spans="1:10" s="690" customFormat="1" ht="12" x14ac:dyDescent="0.2">
      <c r="A17" s="842" t="s">
        <v>632</v>
      </c>
      <c r="B17" s="688" t="s">
        <v>568</v>
      </c>
      <c r="C17" s="843">
        <f t="shared" si="0"/>
        <v>6750</v>
      </c>
      <c r="D17" s="689">
        <f>5*I17</f>
        <v>1250</v>
      </c>
      <c r="E17" s="689">
        <f t="shared" si="1"/>
        <v>500</v>
      </c>
      <c r="F17" s="689">
        <f>Echip.tehn_Belin!H39</f>
        <v>5000</v>
      </c>
      <c r="G17" s="844" t="s">
        <v>572</v>
      </c>
      <c r="I17" s="845">
        <v>250</v>
      </c>
      <c r="J17" s="846" t="s">
        <v>580</v>
      </c>
    </row>
    <row r="18" spans="1:10" s="690" customFormat="1" ht="12" x14ac:dyDescent="0.2">
      <c r="A18" s="842" t="s">
        <v>633</v>
      </c>
      <c r="B18" s="688" t="s">
        <v>634</v>
      </c>
      <c r="C18" s="843">
        <f t="shared" si="0"/>
        <v>45942.1</v>
      </c>
      <c r="D18" s="689">
        <f>24*I18</f>
        <v>6000</v>
      </c>
      <c r="E18" s="689">
        <f t="shared" si="1"/>
        <v>3631.1000000000004</v>
      </c>
      <c r="F18" s="689">
        <f>Echip.tehn_Belin!H46</f>
        <v>36311</v>
      </c>
      <c r="I18" s="845">
        <v>250</v>
      </c>
      <c r="J18" s="846" t="s">
        <v>580</v>
      </c>
    </row>
    <row r="19" spans="1:10" s="690" customFormat="1" ht="12" x14ac:dyDescent="0.2">
      <c r="A19" s="842" t="s">
        <v>635</v>
      </c>
      <c r="B19" s="688" t="s">
        <v>636</v>
      </c>
      <c r="C19" s="843">
        <f t="shared" si="0"/>
        <v>78059</v>
      </c>
      <c r="D19" s="689">
        <f>10*10*I19</f>
        <v>30000</v>
      </c>
      <c r="E19" s="689">
        <f t="shared" si="1"/>
        <v>4369</v>
      </c>
      <c r="F19" s="689">
        <f>Echip.tehn_Belin!H53</f>
        <v>43690</v>
      </c>
      <c r="I19" s="845">
        <v>300</v>
      </c>
      <c r="J19" s="846" t="s">
        <v>582</v>
      </c>
    </row>
    <row r="20" spans="1:10" s="690" customFormat="1" ht="12" x14ac:dyDescent="0.2">
      <c r="A20" s="842" t="s">
        <v>637</v>
      </c>
      <c r="B20" s="688" t="s">
        <v>638</v>
      </c>
      <c r="C20" s="843">
        <f t="shared" si="0"/>
        <v>7095</v>
      </c>
      <c r="D20" s="689">
        <v>0</v>
      </c>
      <c r="E20" s="689">
        <f t="shared" si="1"/>
        <v>645</v>
      </c>
      <c r="F20" s="689">
        <f>Echip.tehn_Belin!H64</f>
        <v>6450</v>
      </c>
      <c r="G20" s="844" t="s">
        <v>639</v>
      </c>
    </row>
    <row r="21" spans="1:10" s="690" customFormat="1" ht="12" x14ac:dyDescent="0.2">
      <c r="A21" s="842" t="s">
        <v>640</v>
      </c>
      <c r="B21" s="688" t="s">
        <v>641</v>
      </c>
      <c r="C21" s="843">
        <f t="shared" si="0"/>
        <v>7027.2</v>
      </c>
      <c r="D21" s="848">
        <f>5*I21</f>
        <v>1250</v>
      </c>
      <c r="E21" s="689">
        <f t="shared" si="1"/>
        <v>525.20000000000005</v>
      </c>
      <c r="F21" s="689">
        <f>Echip.tehn_Belin!H68</f>
        <v>5252</v>
      </c>
      <c r="I21" s="845">
        <v>250</v>
      </c>
      <c r="J21" s="846" t="s">
        <v>580</v>
      </c>
    </row>
    <row r="22" spans="1:10" s="690" customFormat="1" ht="12" x14ac:dyDescent="0.2">
      <c r="A22" s="842" t="s">
        <v>642</v>
      </c>
      <c r="B22" s="688" t="s">
        <v>643</v>
      </c>
      <c r="C22" s="843">
        <f t="shared" si="0"/>
        <v>11140</v>
      </c>
      <c r="D22" s="689">
        <f>10*I22+20*I10</f>
        <v>8500</v>
      </c>
      <c r="E22" s="689">
        <f t="shared" si="1"/>
        <v>240</v>
      </c>
      <c r="F22" s="689">
        <f>Echip.tehn_Belin!H72</f>
        <v>2400</v>
      </c>
      <c r="I22" s="845">
        <v>250</v>
      </c>
      <c r="J22" s="846" t="s">
        <v>580</v>
      </c>
    </row>
    <row r="23" spans="1:10" s="690" customFormat="1" ht="12" x14ac:dyDescent="0.2">
      <c r="A23" s="842" t="s">
        <v>644</v>
      </c>
      <c r="B23" s="688" t="s">
        <v>645</v>
      </c>
      <c r="C23" s="843">
        <f>D23+E23+F23</f>
        <v>8957</v>
      </c>
      <c r="D23" s="848">
        <f>10*I23</f>
        <v>2500</v>
      </c>
      <c r="E23" s="689">
        <f>F23*0.1</f>
        <v>587</v>
      </c>
      <c r="F23" s="689">
        <f>Echip.tehn_Belin!H76</f>
        <v>5870</v>
      </c>
      <c r="I23" s="845">
        <v>250</v>
      </c>
      <c r="J23" s="846" t="s">
        <v>580</v>
      </c>
    </row>
    <row r="24" spans="1:10" s="690" customFormat="1" ht="12" x14ac:dyDescent="0.2">
      <c r="A24" s="842" t="s">
        <v>646</v>
      </c>
      <c r="B24" s="688" t="s">
        <v>647</v>
      </c>
      <c r="C24" s="843">
        <f>D24+E24+F24</f>
        <v>14000</v>
      </c>
      <c r="D24" s="689">
        <f>10*I24+20*I10</f>
        <v>8500</v>
      </c>
      <c r="E24" s="689">
        <f>F24*0.1</f>
        <v>500</v>
      </c>
      <c r="F24" s="689">
        <f>Echip.tehn_Belin!H80</f>
        <v>5000</v>
      </c>
      <c r="G24" s="849" t="s">
        <v>648</v>
      </c>
      <c r="I24" s="845">
        <v>250</v>
      </c>
      <c r="J24" s="846" t="s">
        <v>580</v>
      </c>
    </row>
    <row r="25" spans="1:10" s="690" customFormat="1" ht="12" x14ac:dyDescent="0.2">
      <c r="A25" s="842" t="s">
        <v>649</v>
      </c>
      <c r="B25" s="688" t="s">
        <v>650</v>
      </c>
      <c r="C25" s="843">
        <f t="shared" si="0"/>
        <v>0</v>
      </c>
      <c r="D25" s="689">
        <f>0*I25</f>
        <v>0</v>
      </c>
      <c r="E25" s="689">
        <f t="shared" si="1"/>
        <v>0</v>
      </c>
      <c r="F25" s="689">
        <v>0</v>
      </c>
      <c r="I25" s="845">
        <v>300</v>
      </c>
      <c r="J25" s="846" t="s">
        <v>582</v>
      </c>
    </row>
    <row r="26" spans="1:10" s="690" customFormat="1" ht="12" x14ac:dyDescent="0.2">
      <c r="A26" s="842" t="s">
        <v>651</v>
      </c>
      <c r="B26" s="688" t="s">
        <v>652</v>
      </c>
      <c r="C26" s="843">
        <f>D26+E26+F26</f>
        <v>10800</v>
      </c>
      <c r="D26" s="689">
        <f>54*200</f>
        <v>10800</v>
      </c>
      <c r="E26" s="689">
        <v>0</v>
      </c>
      <c r="F26" s="689">
        <v>0</v>
      </c>
      <c r="G26" s="850" t="s">
        <v>653</v>
      </c>
      <c r="H26" s="850"/>
      <c r="I26" s="845"/>
      <c r="J26" s="847"/>
    </row>
    <row r="27" spans="1:10" s="690" customFormat="1" ht="12" x14ac:dyDescent="0.2">
      <c r="A27" s="842" t="s">
        <v>654</v>
      </c>
      <c r="B27" s="688" t="s">
        <v>655</v>
      </c>
      <c r="C27" s="843">
        <f t="shared" si="0"/>
        <v>10000</v>
      </c>
      <c r="D27" s="689">
        <v>10000</v>
      </c>
      <c r="E27" s="689">
        <v>0</v>
      </c>
      <c r="F27" s="689">
        <v>0</v>
      </c>
      <c r="I27" s="845"/>
      <c r="J27" s="847"/>
    </row>
    <row r="28" spans="1:10" s="690" customFormat="1" ht="12" x14ac:dyDescent="0.2">
      <c r="A28" s="842" t="s">
        <v>656</v>
      </c>
      <c r="B28" s="688" t="s">
        <v>657</v>
      </c>
      <c r="C28" s="843">
        <f t="shared" si="0"/>
        <v>11000</v>
      </c>
      <c r="D28" s="689">
        <v>11000</v>
      </c>
      <c r="E28" s="689">
        <f t="shared" si="1"/>
        <v>0</v>
      </c>
      <c r="F28" s="689">
        <v>0</v>
      </c>
      <c r="G28" s="850" t="s">
        <v>658</v>
      </c>
      <c r="I28" s="845">
        <v>250</v>
      </c>
      <c r="J28" s="846" t="s">
        <v>582</v>
      </c>
    </row>
    <row r="29" spans="1:10" s="690" customFormat="1" ht="12" x14ac:dyDescent="0.2">
      <c r="A29" s="842" t="s">
        <v>659</v>
      </c>
      <c r="B29" s="688" t="s">
        <v>583</v>
      </c>
      <c r="C29" s="843">
        <f t="shared" si="0"/>
        <v>110000</v>
      </c>
      <c r="D29" s="689">
        <v>0</v>
      </c>
      <c r="E29" s="689">
        <f t="shared" si="1"/>
        <v>10000</v>
      </c>
      <c r="F29" s="689">
        <v>100000</v>
      </c>
      <c r="I29" s="845"/>
      <c r="J29" s="847"/>
    </row>
    <row r="30" spans="1:10" s="690" customFormat="1" ht="12" x14ac:dyDescent="0.2">
      <c r="A30" s="842" t="s">
        <v>660</v>
      </c>
      <c r="B30" s="688" t="s">
        <v>661</v>
      </c>
      <c r="C30" s="843">
        <f t="shared" si="0"/>
        <v>7700</v>
      </c>
      <c r="D30" s="689">
        <v>0</v>
      </c>
      <c r="E30" s="689">
        <f t="shared" si="1"/>
        <v>700</v>
      </c>
      <c r="F30" s="689">
        <v>7000</v>
      </c>
      <c r="I30" s="845"/>
      <c r="J30" s="847"/>
    </row>
    <row r="31" spans="1:10" s="690" customFormat="1" x14ac:dyDescent="0.2">
      <c r="A31" s="842" t="s">
        <v>662</v>
      </c>
      <c r="B31" s="688" t="s">
        <v>584</v>
      </c>
      <c r="C31" s="843">
        <f t="shared" si="0"/>
        <v>35000</v>
      </c>
      <c r="D31" s="689">
        <v>35000</v>
      </c>
      <c r="E31" s="689">
        <v>0</v>
      </c>
      <c r="F31" s="689">
        <v>0</v>
      </c>
      <c r="I31" s="845">
        <v>7</v>
      </c>
      <c r="J31" s="851" t="s">
        <v>663</v>
      </c>
    </row>
    <row r="32" spans="1:10" s="690" customFormat="1" x14ac:dyDescent="0.2">
      <c r="A32" s="842" t="s">
        <v>664</v>
      </c>
      <c r="B32" s="688" t="s">
        <v>585</v>
      </c>
      <c r="C32" s="843">
        <f t="shared" si="0"/>
        <v>27500</v>
      </c>
      <c r="D32" s="689">
        <v>0</v>
      </c>
      <c r="E32" s="689">
        <f t="shared" si="1"/>
        <v>2500</v>
      </c>
      <c r="F32" s="689">
        <v>25000</v>
      </c>
      <c r="I32" s="845">
        <v>5</v>
      </c>
      <c r="J32" s="851" t="s">
        <v>663</v>
      </c>
    </row>
    <row r="33" spans="1:10" s="690" customFormat="1" ht="12" x14ac:dyDescent="0.2">
      <c r="A33" s="842" t="s">
        <v>665</v>
      </c>
      <c r="B33" s="688" t="s">
        <v>586</v>
      </c>
      <c r="C33" s="843">
        <f t="shared" si="0"/>
        <v>30000</v>
      </c>
      <c r="D33" s="689">
        <v>0</v>
      </c>
      <c r="E33" s="689">
        <v>0</v>
      </c>
      <c r="F33" s="689">
        <v>30000</v>
      </c>
      <c r="G33" s="850"/>
      <c r="I33" s="845"/>
      <c r="J33" s="847"/>
    </row>
    <row r="34" spans="1:10" s="690" customFormat="1" ht="12" x14ac:dyDescent="0.2">
      <c r="A34" s="842" t="s">
        <v>666</v>
      </c>
      <c r="B34" s="688" t="s">
        <v>587</v>
      </c>
      <c r="C34" s="852">
        <f t="shared" si="0"/>
        <v>80000</v>
      </c>
      <c r="D34" s="689">
        <v>0</v>
      </c>
      <c r="E34" s="689">
        <v>0</v>
      </c>
      <c r="F34" s="689">
        <v>80000</v>
      </c>
      <c r="G34" s="850"/>
      <c r="I34" s="845"/>
      <c r="J34" s="847"/>
    </row>
    <row r="35" spans="1:10" s="690" customFormat="1" ht="36" x14ac:dyDescent="0.2">
      <c r="A35" s="842" t="s">
        <v>667</v>
      </c>
      <c r="B35" s="688" t="s">
        <v>588</v>
      </c>
      <c r="C35" s="843">
        <f t="shared" si="0"/>
        <v>83575</v>
      </c>
      <c r="D35" s="689">
        <f>F52</f>
        <v>83575</v>
      </c>
      <c r="E35" s="689">
        <f t="shared" si="1"/>
        <v>0</v>
      </c>
      <c r="F35" s="689">
        <v>0</v>
      </c>
      <c r="G35" s="850"/>
      <c r="I35" s="845"/>
      <c r="J35" s="847"/>
    </row>
    <row r="36" spans="1:10" s="690" customFormat="1" ht="12" x14ac:dyDescent="0.2">
      <c r="A36" s="842" t="s">
        <v>668</v>
      </c>
      <c r="B36" s="688" t="s">
        <v>589</v>
      </c>
      <c r="C36" s="852">
        <f t="shared" si="0"/>
        <v>0</v>
      </c>
      <c r="D36" s="689">
        <v>0</v>
      </c>
      <c r="E36" s="689">
        <f t="shared" si="1"/>
        <v>0</v>
      </c>
      <c r="F36" s="689">
        <v>0</v>
      </c>
      <c r="I36" s="845"/>
      <c r="J36" s="847"/>
    </row>
    <row r="37" spans="1:10" s="690" customFormat="1" ht="12" x14ac:dyDescent="0.2">
      <c r="A37" s="842" t="s">
        <v>669</v>
      </c>
      <c r="B37" s="688" t="s">
        <v>670</v>
      </c>
      <c r="C37" s="852">
        <f t="shared" si="0"/>
        <v>0</v>
      </c>
      <c r="D37" s="689">
        <v>0</v>
      </c>
      <c r="E37" s="689">
        <f t="shared" si="1"/>
        <v>0</v>
      </c>
      <c r="F37" s="689">
        <v>0</v>
      </c>
      <c r="I37" s="845"/>
      <c r="J37" s="847"/>
    </row>
    <row r="38" spans="1:10" s="690" customFormat="1" ht="12" x14ac:dyDescent="0.2">
      <c r="A38" s="842" t="s">
        <v>671</v>
      </c>
      <c r="B38" s="688" t="s">
        <v>672</v>
      </c>
      <c r="C38" s="852">
        <f t="shared" si="0"/>
        <v>0</v>
      </c>
      <c r="D38" s="689">
        <v>0</v>
      </c>
      <c r="E38" s="689">
        <f t="shared" si="1"/>
        <v>0</v>
      </c>
      <c r="F38" s="689">
        <v>0</v>
      </c>
      <c r="G38" s="850" t="s">
        <v>673</v>
      </c>
      <c r="I38" s="845"/>
      <c r="J38" s="847"/>
    </row>
    <row r="39" spans="1:10" s="690" customFormat="1" ht="13.15" customHeight="1" thickBot="1" x14ac:dyDescent="0.25">
      <c r="A39" s="853"/>
      <c r="B39" s="691" t="s">
        <v>590</v>
      </c>
      <c r="C39" s="854">
        <f>SUM(C10:C38)</f>
        <v>1067096.2999999998</v>
      </c>
      <c r="D39" s="854">
        <f>SUM(D10:D38)</f>
        <v>431700</v>
      </c>
      <c r="E39" s="854">
        <f>SUM(E10:E38)</f>
        <v>47763.299999999996</v>
      </c>
      <c r="F39" s="854">
        <f>SUM(F10:F38)</f>
        <v>587633</v>
      </c>
      <c r="H39" s="855">
        <f>D39+E39+F39</f>
        <v>1067096.3</v>
      </c>
      <c r="I39" s="856" t="s">
        <v>674</v>
      </c>
      <c r="J39" s="847"/>
    </row>
    <row r="40" spans="1:10" ht="14.25" customHeight="1" x14ac:dyDescent="0.2">
      <c r="G40" s="861"/>
    </row>
    <row r="41" spans="1:10" ht="14.25" customHeight="1" x14ac:dyDescent="0.2">
      <c r="G41" s="861"/>
    </row>
    <row r="42" spans="1:10" ht="14.25" customHeight="1" x14ac:dyDescent="0.2">
      <c r="B42" s="862" t="s">
        <v>591</v>
      </c>
      <c r="C42" s="863">
        <f>C39/C44</f>
        <v>395.22085185185176</v>
      </c>
      <c r="D42" s="864" t="s">
        <v>592</v>
      </c>
      <c r="G42" s="861"/>
      <c r="H42" s="865"/>
    </row>
    <row r="43" spans="1:10" ht="14.25" customHeight="1" x14ac:dyDescent="0.2">
      <c r="G43" s="861"/>
    </row>
    <row r="44" spans="1:10" ht="14.25" customHeight="1" x14ac:dyDescent="0.25">
      <c r="C44" s="859">
        <f>EE_Belin!B1</f>
        <v>2700</v>
      </c>
      <c r="D44" s="866" t="s">
        <v>343</v>
      </c>
      <c r="G44" s="861"/>
    </row>
    <row r="45" spans="1:10" ht="14.25" customHeight="1" x14ac:dyDescent="0.2">
      <c r="G45" s="861"/>
    </row>
    <row r="46" spans="1:10" ht="14.25" customHeight="1" x14ac:dyDescent="0.2">
      <c r="G46" s="861"/>
    </row>
    <row r="47" spans="1:10" ht="14.25" customHeight="1" x14ac:dyDescent="0.2">
      <c r="G47" s="861"/>
    </row>
    <row r="48" spans="1:10" ht="14.25" customHeight="1" x14ac:dyDescent="0.25">
      <c r="D48" s="693" t="s">
        <v>593</v>
      </c>
      <c r="E48" s="694"/>
      <c r="F48" s="867" t="s">
        <v>594</v>
      </c>
      <c r="G48" s="861"/>
    </row>
    <row r="49" spans="4:7" ht="14.25" customHeight="1" x14ac:dyDescent="0.2">
      <c r="D49" s="868" t="s">
        <v>595</v>
      </c>
      <c r="E49" s="869"/>
      <c r="F49" s="870">
        <f>43000</f>
        <v>43000</v>
      </c>
      <c r="G49" s="861"/>
    </row>
    <row r="50" spans="4:7" ht="14.25" customHeight="1" x14ac:dyDescent="0.2">
      <c r="D50" s="868" t="s">
        <v>596</v>
      </c>
      <c r="E50" s="869"/>
      <c r="F50" s="870">
        <f>600*50</f>
        <v>30000</v>
      </c>
      <c r="G50" s="861"/>
    </row>
    <row r="51" spans="4:7" ht="14.25" customHeight="1" x14ac:dyDescent="0.2">
      <c r="D51" s="868" t="s">
        <v>597</v>
      </c>
      <c r="E51" s="869"/>
      <c r="F51" s="870">
        <f>225*47</f>
        <v>10575</v>
      </c>
      <c r="G51" s="861"/>
    </row>
    <row r="52" spans="4:7" ht="14.25" customHeight="1" x14ac:dyDescent="0.2">
      <c r="D52" s="695" t="s">
        <v>271</v>
      </c>
      <c r="E52" s="871"/>
      <c r="F52" s="872">
        <f>SUM(F49:F51)</f>
        <v>83575</v>
      </c>
      <c r="G52" s="861"/>
    </row>
    <row r="53" spans="4:7" ht="14.25" customHeight="1" x14ac:dyDescent="0.2">
      <c r="G53" s="861"/>
    </row>
    <row r="54" spans="4:7" ht="14.25" customHeight="1" x14ac:dyDescent="0.2">
      <c r="G54" s="861"/>
    </row>
    <row r="55" spans="4:7" ht="14.25" customHeight="1" x14ac:dyDescent="0.2">
      <c r="G55" s="861"/>
    </row>
    <row r="56" spans="4:7" ht="14.25" customHeight="1" x14ac:dyDescent="0.2">
      <c r="G56" s="861"/>
    </row>
    <row r="57" spans="4:7" ht="14.25" customHeight="1" x14ac:dyDescent="0.2">
      <c r="G57" s="861"/>
    </row>
    <row r="58" spans="4:7" ht="14.25" customHeight="1" x14ac:dyDescent="0.2">
      <c r="G58" s="861"/>
    </row>
    <row r="59" spans="4:7" ht="14.25" customHeight="1" x14ac:dyDescent="0.2">
      <c r="G59" s="861"/>
    </row>
    <row r="60" spans="4:7" ht="14.25" customHeight="1" x14ac:dyDescent="0.2">
      <c r="G60" s="861"/>
    </row>
    <row r="61" spans="4:7" ht="14.25" customHeight="1" x14ac:dyDescent="0.2">
      <c r="G61" s="861"/>
    </row>
    <row r="62" spans="4:7" ht="14.25" customHeight="1" x14ac:dyDescent="0.2">
      <c r="G62" s="861"/>
    </row>
    <row r="63" spans="4:7" ht="14.25" customHeight="1" x14ac:dyDescent="0.2">
      <c r="G63" s="861"/>
    </row>
    <row r="64" spans="4:7" ht="14.25" customHeight="1" x14ac:dyDescent="0.2">
      <c r="G64" s="861"/>
    </row>
    <row r="65" spans="7:7" ht="14.25" customHeight="1" x14ac:dyDescent="0.2">
      <c r="G65" s="861"/>
    </row>
    <row r="66" spans="7:7" ht="14.25" customHeight="1" x14ac:dyDescent="0.2">
      <c r="G66" s="861"/>
    </row>
    <row r="67" spans="7:7" ht="14.25" customHeight="1" x14ac:dyDescent="0.2">
      <c r="G67" s="861"/>
    </row>
    <row r="68" spans="7:7" ht="14.25" customHeight="1" x14ac:dyDescent="0.2">
      <c r="G68" s="861"/>
    </row>
    <row r="69" spans="7:7" ht="14.25" customHeight="1" x14ac:dyDescent="0.2">
      <c r="G69" s="861"/>
    </row>
    <row r="70" spans="7:7" ht="14.25" customHeight="1" x14ac:dyDescent="0.2">
      <c r="G70" s="861"/>
    </row>
    <row r="71" spans="7:7" ht="14.25" customHeight="1" x14ac:dyDescent="0.2">
      <c r="G71" s="861"/>
    </row>
    <row r="72" spans="7:7" ht="14.25" customHeight="1" x14ac:dyDescent="0.2">
      <c r="G72" s="861"/>
    </row>
    <row r="73" spans="7:7" ht="14.25" customHeight="1" x14ac:dyDescent="0.2">
      <c r="G73" s="861"/>
    </row>
    <row r="74" spans="7:7" ht="14.25" customHeight="1" x14ac:dyDescent="0.2">
      <c r="G74" s="861"/>
    </row>
    <row r="75" spans="7:7" ht="14.25" customHeight="1" x14ac:dyDescent="0.2">
      <c r="G75" s="861"/>
    </row>
    <row r="76" spans="7:7" ht="14.25" customHeight="1" x14ac:dyDescent="0.2">
      <c r="G76" s="861"/>
    </row>
    <row r="77" spans="7:7" ht="14.25" customHeight="1" x14ac:dyDescent="0.2">
      <c r="G77" s="861"/>
    </row>
    <row r="78" spans="7:7" ht="14.25" customHeight="1" x14ac:dyDescent="0.2">
      <c r="G78" s="861"/>
    </row>
    <row r="79" spans="7:7" ht="14.25" customHeight="1" x14ac:dyDescent="0.2">
      <c r="G79" s="861"/>
    </row>
    <row r="80" spans="7:7" ht="14.25" customHeight="1" x14ac:dyDescent="0.2">
      <c r="G80" s="861"/>
    </row>
    <row r="81" spans="7:7" ht="14.25" customHeight="1" x14ac:dyDescent="0.2">
      <c r="G81" s="861"/>
    </row>
    <row r="82" spans="7:7" ht="14.25" customHeight="1" x14ac:dyDescent="0.2">
      <c r="G82" s="861"/>
    </row>
    <row r="83" spans="7:7" ht="14.25" customHeight="1" x14ac:dyDescent="0.2">
      <c r="G83" s="861"/>
    </row>
    <row r="84" spans="7:7" ht="14.25" customHeight="1" x14ac:dyDescent="0.2">
      <c r="G84" s="861"/>
    </row>
    <row r="85" spans="7:7" ht="14.25" customHeight="1" x14ac:dyDescent="0.2">
      <c r="G85" s="861"/>
    </row>
    <row r="86" spans="7:7" ht="14.25" customHeight="1" x14ac:dyDescent="0.2">
      <c r="G86" s="861"/>
    </row>
    <row r="87" spans="7:7" ht="14.25" customHeight="1" x14ac:dyDescent="0.2">
      <c r="G87" s="861"/>
    </row>
    <row r="88" spans="7:7" ht="14.25" customHeight="1" x14ac:dyDescent="0.2">
      <c r="G88" s="861"/>
    </row>
    <row r="89" spans="7:7" ht="14.25" customHeight="1" x14ac:dyDescent="0.2">
      <c r="G89" s="861"/>
    </row>
    <row r="90" spans="7:7" ht="14.25" customHeight="1" x14ac:dyDescent="0.2">
      <c r="G90" s="861"/>
    </row>
    <row r="91" spans="7:7" ht="14.25" customHeight="1" x14ac:dyDescent="0.2">
      <c r="G91" s="861"/>
    </row>
    <row r="92" spans="7:7" ht="14.25" customHeight="1" x14ac:dyDescent="0.2">
      <c r="G92" s="861"/>
    </row>
    <row r="93" spans="7:7" ht="14.25" customHeight="1" x14ac:dyDescent="0.2">
      <c r="G93" s="861"/>
    </row>
    <row r="94" spans="7:7" ht="14.25" customHeight="1" x14ac:dyDescent="0.2">
      <c r="G94" s="861"/>
    </row>
    <row r="95" spans="7:7" ht="14.25" customHeight="1" x14ac:dyDescent="0.2">
      <c r="G95" s="861"/>
    </row>
    <row r="96" spans="7:7" ht="14.25" customHeight="1" x14ac:dyDescent="0.2">
      <c r="G96" s="861"/>
    </row>
    <row r="97" spans="7:7" ht="14.25" customHeight="1" x14ac:dyDescent="0.2">
      <c r="G97" s="861"/>
    </row>
    <row r="98" spans="7:7" ht="14.25" customHeight="1" x14ac:dyDescent="0.2">
      <c r="G98" s="861"/>
    </row>
    <row r="99" spans="7:7" ht="14.25" customHeight="1" x14ac:dyDescent="0.2">
      <c r="G99" s="861"/>
    </row>
    <row r="100" spans="7:7" ht="14.25" customHeight="1" x14ac:dyDescent="0.2">
      <c r="G100" s="861"/>
    </row>
    <row r="101" spans="7:7" ht="14.25" customHeight="1" x14ac:dyDescent="0.2">
      <c r="G101" s="861"/>
    </row>
    <row r="102" spans="7:7" ht="14.25" customHeight="1" x14ac:dyDescent="0.2">
      <c r="G102" s="861"/>
    </row>
    <row r="103" spans="7:7" ht="14.25" customHeight="1" x14ac:dyDescent="0.2">
      <c r="G103" s="861"/>
    </row>
    <row r="104" spans="7:7" ht="14.25" customHeight="1" x14ac:dyDescent="0.2">
      <c r="G104" s="861"/>
    </row>
    <row r="105" spans="7:7" ht="14.25" customHeight="1" x14ac:dyDescent="0.2">
      <c r="G105" s="861"/>
    </row>
    <row r="106" spans="7:7" ht="14.25" customHeight="1" x14ac:dyDescent="0.2">
      <c r="G106" s="861"/>
    </row>
    <row r="107" spans="7:7" ht="14.25" customHeight="1" x14ac:dyDescent="0.2">
      <c r="G107" s="861"/>
    </row>
    <row r="108" spans="7:7" ht="14.25" customHeight="1" x14ac:dyDescent="0.2">
      <c r="G108" s="861"/>
    </row>
    <row r="109" spans="7:7" ht="14.25" customHeight="1" x14ac:dyDescent="0.2">
      <c r="G109" s="861"/>
    </row>
    <row r="110" spans="7:7" ht="14.25" customHeight="1" x14ac:dyDescent="0.2">
      <c r="G110" s="861"/>
    </row>
    <row r="111" spans="7:7" ht="14.25" customHeight="1" x14ac:dyDescent="0.2">
      <c r="G111" s="861"/>
    </row>
    <row r="112" spans="7:7" ht="14.25" customHeight="1" x14ac:dyDescent="0.2">
      <c r="G112" s="861"/>
    </row>
    <row r="113" spans="7:7" ht="14.25" customHeight="1" x14ac:dyDescent="0.2">
      <c r="G113" s="861"/>
    </row>
    <row r="114" spans="7:7" ht="14.25" customHeight="1" x14ac:dyDescent="0.2">
      <c r="G114" s="861"/>
    </row>
    <row r="115" spans="7:7" ht="14.25" customHeight="1" x14ac:dyDescent="0.2">
      <c r="G115" s="861"/>
    </row>
    <row r="116" spans="7:7" ht="14.25" customHeight="1" x14ac:dyDescent="0.2">
      <c r="G116" s="861"/>
    </row>
    <row r="117" spans="7:7" ht="14.25" customHeight="1" x14ac:dyDescent="0.2">
      <c r="G117" s="861"/>
    </row>
    <row r="118" spans="7:7" ht="14.25" customHeight="1" x14ac:dyDescent="0.2">
      <c r="G118" s="861"/>
    </row>
    <row r="119" spans="7:7" ht="14.25" customHeight="1" x14ac:dyDescent="0.2">
      <c r="G119" s="861"/>
    </row>
    <row r="120" spans="7:7" ht="14.25" customHeight="1" x14ac:dyDescent="0.2">
      <c r="G120" s="861"/>
    </row>
    <row r="121" spans="7:7" ht="14.25" customHeight="1" x14ac:dyDescent="0.2">
      <c r="G121" s="861"/>
    </row>
    <row r="122" spans="7:7" ht="14.25" customHeight="1" x14ac:dyDescent="0.2">
      <c r="G122" s="861"/>
    </row>
    <row r="123" spans="7:7" ht="14.25" customHeight="1" x14ac:dyDescent="0.2">
      <c r="G123" s="861"/>
    </row>
    <row r="124" spans="7:7" ht="14.25" customHeight="1" x14ac:dyDescent="0.2">
      <c r="G124" s="861"/>
    </row>
    <row r="125" spans="7:7" ht="14.25" customHeight="1" x14ac:dyDescent="0.2">
      <c r="G125" s="861"/>
    </row>
    <row r="126" spans="7:7" ht="14.25" customHeight="1" x14ac:dyDescent="0.2">
      <c r="G126" s="861"/>
    </row>
    <row r="127" spans="7:7" ht="14.25" customHeight="1" x14ac:dyDescent="0.2">
      <c r="G127" s="861"/>
    </row>
    <row r="128" spans="7:7" ht="14.25" customHeight="1" x14ac:dyDescent="0.2">
      <c r="G128" s="861"/>
    </row>
    <row r="129" spans="7:7" ht="14.25" customHeight="1" x14ac:dyDescent="0.2">
      <c r="G129" s="861"/>
    </row>
    <row r="130" spans="7:7" ht="14.25" customHeight="1" x14ac:dyDescent="0.2">
      <c r="G130" s="861"/>
    </row>
    <row r="131" spans="7:7" ht="14.25" customHeight="1" x14ac:dyDescent="0.2">
      <c r="G131" s="861"/>
    </row>
    <row r="132" spans="7:7" ht="14.25" customHeight="1" x14ac:dyDescent="0.2">
      <c r="G132" s="861"/>
    </row>
    <row r="133" spans="7:7" ht="14.25" customHeight="1" x14ac:dyDescent="0.2">
      <c r="G133" s="861"/>
    </row>
    <row r="134" spans="7:7" ht="14.25" customHeight="1" x14ac:dyDescent="0.2">
      <c r="G134" s="861"/>
    </row>
    <row r="135" spans="7:7" ht="14.25" customHeight="1" x14ac:dyDescent="0.2">
      <c r="G135" s="861"/>
    </row>
    <row r="136" spans="7:7" ht="14.25" customHeight="1" x14ac:dyDescent="0.2">
      <c r="G136" s="861"/>
    </row>
    <row r="137" spans="7:7" ht="14.25" customHeight="1" x14ac:dyDescent="0.2">
      <c r="G137" s="861"/>
    </row>
    <row r="138" spans="7:7" ht="14.25" customHeight="1" x14ac:dyDescent="0.2">
      <c r="G138" s="861"/>
    </row>
    <row r="139" spans="7:7" ht="14.25" customHeight="1" x14ac:dyDescent="0.2">
      <c r="G139" s="861"/>
    </row>
    <row r="140" spans="7:7" ht="14.25" customHeight="1" x14ac:dyDescent="0.2">
      <c r="G140" s="861"/>
    </row>
    <row r="141" spans="7:7" ht="14.25" customHeight="1" x14ac:dyDescent="0.2">
      <c r="G141" s="861"/>
    </row>
    <row r="142" spans="7:7" ht="14.25" customHeight="1" x14ac:dyDescent="0.2">
      <c r="G142" s="861"/>
    </row>
    <row r="143" spans="7:7" ht="14.25" customHeight="1" x14ac:dyDescent="0.2">
      <c r="G143" s="861"/>
    </row>
    <row r="144" spans="7:7" ht="14.25" customHeight="1" x14ac:dyDescent="0.2">
      <c r="G144" s="861"/>
    </row>
    <row r="145" spans="7:7" ht="14.25" customHeight="1" x14ac:dyDescent="0.2">
      <c r="G145" s="861"/>
    </row>
    <row r="146" spans="7:7" ht="14.25" customHeight="1" x14ac:dyDescent="0.2">
      <c r="G146" s="861"/>
    </row>
    <row r="147" spans="7:7" ht="14.25" customHeight="1" x14ac:dyDescent="0.2">
      <c r="G147" s="861"/>
    </row>
    <row r="148" spans="7:7" ht="14.25" customHeight="1" x14ac:dyDescent="0.2">
      <c r="G148" s="861"/>
    </row>
    <row r="149" spans="7:7" ht="14.25" customHeight="1" x14ac:dyDescent="0.2">
      <c r="G149" s="861"/>
    </row>
    <row r="150" spans="7:7" ht="14.25" customHeight="1" x14ac:dyDescent="0.2">
      <c r="G150" s="861"/>
    </row>
    <row r="151" spans="7:7" ht="14.25" customHeight="1" x14ac:dyDescent="0.2">
      <c r="G151" s="861"/>
    </row>
    <row r="152" spans="7:7" ht="14.25" customHeight="1" x14ac:dyDescent="0.2">
      <c r="G152" s="861"/>
    </row>
    <row r="153" spans="7:7" ht="14.25" customHeight="1" x14ac:dyDescent="0.2">
      <c r="G153" s="861"/>
    </row>
    <row r="154" spans="7:7" ht="14.25" customHeight="1" x14ac:dyDescent="0.2">
      <c r="G154" s="861"/>
    </row>
    <row r="155" spans="7:7" ht="14.25" customHeight="1" x14ac:dyDescent="0.2">
      <c r="G155" s="861"/>
    </row>
    <row r="156" spans="7:7" ht="14.25" customHeight="1" x14ac:dyDescent="0.2">
      <c r="G156" s="861"/>
    </row>
    <row r="157" spans="7:7" ht="14.25" customHeight="1" x14ac:dyDescent="0.2">
      <c r="G157" s="861"/>
    </row>
    <row r="158" spans="7:7" ht="14.25" customHeight="1" x14ac:dyDescent="0.2">
      <c r="G158" s="861"/>
    </row>
    <row r="159" spans="7:7" ht="14.25" customHeight="1" x14ac:dyDescent="0.2">
      <c r="G159" s="861"/>
    </row>
    <row r="160" spans="7:7" ht="14.25" customHeight="1" x14ac:dyDescent="0.2">
      <c r="G160" s="861"/>
    </row>
    <row r="161" spans="7:7" ht="14.25" customHeight="1" x14ac:dyDescent="0.2">
      <c r="G161" s="861"/>
    </row>
    <row r="162" spans="7:7" ht="14.25" customHeight="1" x14ac:dyDescent="0.2">
      <c r="G162" s="861"/>
    </row>
    <row r="163" spans="7:7" ht="14.25" customHeight="1" x14ac:dyDescent="0.2">
      <c r="G163" s="861"/>
    </row>
    <row r="164" spans="7:7" ht="14.25" customHeight="1" x14ac:dyDescent="0.2">
      <c r="G164" s="861"/>
    </row>
    <row r="165" spans="7:7" ht="14.25" customHeight="1" x14ac:dyDescent="0.2">
      <c r="G165" s="861"/>
    </row>
    <row r="166" spans="7:7" ht="14.25" customHeight="1" x14ac:dyDescent="0.2">
      <c r="G166" s="861"/>
    </row>
    <row r="167" spans="7:7" ht="14.25" customHeight="1" x14ac:dyDescent="0.2">
      <c r="G167" s="861"/>
    </row>
    <row r="168" spans="7:7" ht="14.25" customHeight="1" x14ac:dyDescent="0.2">
      <c r="G168" s="861"/>
    </row>
    <row r="169" spans="7:7" ht="14.25" customHeight="1" x14ac:dyDescent="0.2">
      <c r="G169" s="861"/>
    </row>
    <row r="170" spans="7:7" ht="14.25" customHeight="1" x14ac:dyDescent="0.2">
      <c r="G170" s="861"/>
    </row>
    <row r="171" spans="7:7" ht="14.25" customHeight="1" x14ac:dyDescent="0.2">
      <c r="G171" s="861"/>
    </row>
    <row r="172" spans="7:7" ht="14.25" customHeight="1" x14ac:dyDescent="0.2">
      <c r="G172" s="861"/>
    </row>
    <row r="173" spans="7:7" ht="14.25" customHeight="1" x14ac:dyDescent="0.2">
      <c r="G173" s="861"/>
    </row>
    <row r="174" spans="7:7" ht="14.25" customHeight="1" x14ac:dyDescent="0.2">
      <c r="G174" s="861"/>
    </row>
    <row r="175" spans="7:7" ht="14.25" customHeight="1" x14ac:dyDescent="0.2">
      <c r="G175" s="861"/>
    </row>
    <row r="176" spans="7:7" ht="14.25" customHeight="1" x14ac:dyDescent="0.2">
      <c r="G176" s="861"/>
    </row>
    <row r="177" spans="7:7" ht="14.25" customHeight="1" x14ac:dyDescent="0.2">
      <c r="G177" s="861"/>
    </row>
    <row r="178" spans="7:7" ht="14.25" customHeight="1" x14ac:dyDescent="0.2">
      <c r="G178" s="861"/>
    </row>
    <row r="179" spans="7:7" ht="14.25" customHeight="1" x14ac:dyDescent="0.2">
      <c r="G179" s="861"/>
    </row>
    <row r="180" spans="7:7" ht="14.25" customHeight="1" x14ac:dyDescent="0.2">
      <c r="G180" s="861"/>
    </row>
    <row r="181" spans="7:7" ht="14.25" customHeight="1" x14ac:dyDescent="0.2">
      <c r="G181" s="861"/>
    </row>
    <row r="182" spans="7:7" ht="14.25" customHeight="1" x14ac:dyDescent="0.2">
      <c r="G182" s="861"/>
    </row>
    <row r="183" spans="7:7" ht="14.25" customHeight="1" x14ac:dyDescent="0.2">
      <c r="G183" s="861"/>
    </row>
    <row r="184" spans="7:7" ht="14.25" customHeight="1" x14ac:dyDescent="0.2">
      <c r="G184" s="861"/>
    </row>
    <row r="185" spans="7:7" ht="14.25" customHeight="1" x14ac:dyDescent="0.2">
      <c r="G185" s="861"/>
    </row>
    <row r="186" spans="7:7" ht="14.25" customHeight="1" x14ac:dyDescent="0.2">
      <c r="G186" s="861"/>
    </row>
    <row r="187" spans="7:7" ht="14.25" customHeight="1" x14ac:dyDescent="0.2">
      <c r="G187" s="861"/>
    </row>
    <row r="188" spans="7:7" ht="14.25" customHeight="1" x14ac:dyDescent="0.2">
      <c r="G188" s="861"/>
    </row>
    <row r="189" spans="7:7" ht="14.25" customHeight="1" x14ac:dyDescent="0.2">
      <c r="G189" s="861"/>
    </row>
    <row r="190" spans="7:7" ht="14.25" customHeight="1" x14ac:dyDescent="0.2">
      <c r="G190" s="861"/>
    </row>
    <row r="191" spans="7:7" ht="14.25" customHeight="1" x14ac:dyDescent="0.2">
      <c r="G191" s="861"/>
    </row>
    <row r="192" spans="7:7" ht="14.25" customHeight="1" x14ac:dyDescent="0.2">
      <c r="G192" s="861"/>
    </row>
    <row r="193" spans="7:7" ht="14.25" customHeight="1" x14ac:dyDescent="0.2">
      <c r="G193" s="861"/>
    </row>
    <row r="194" spans="7:7" ht="14.25" customHeight="1" x14ac:dyDescent="0.2">
      <c r="G194" s="861"/>
    </row>
    <row r="195" spans="7:7" ht="14.25" customHeight="1" x14ac:dyDescent="0.2">
      <c r="G195" s="861"/>
    </row>
    <row r="196" spans="7:7" ht="14.25" customHeight="1" x14ac:dyDescent="0.2">
      <c r="G196" s="861"/>
    </row>
    <row r="197" spans="7:7" ht="14.25" customHeight="1" x14ac:dyDescent="0.2">
      <c r="G197" s="861"/>
    </row>
    <row r="198" spans="7:7" ht="14.25" customHeight="1" x14ac:dyDescent="0.2">
      <c r="G198" s="861"/>
    </row>
    <row r="199" spans="7:7" ht="14.25" customHeight="1" x14ac:dyDescent="0.2">
      <c r="G199" s="861"/>
    </row>
    <row r="200" spans="7:7" ht="14.25" customHeight="1" x14ac:dyDescent="0.2">
      <c r="G200" s="861"/>
    </row>
    <row r="201" spans="7:7" ht="14.25" customHeight="1" x14ac:dyDescent="0.2">
      <c r="G201" s="861"/>
    </row>
    <row r="202" spans="7:7" ht="14.25" customHeight="1" x14ac:dyDescent="0.2">
      <c r="G202" s="861"/>
    </row>
    <row r="203" spans="7:7" ht="14.25" customHeight="1" x14ac:dyDescent="0.2">
      <c r="G203" s="861"/>
    </row>
    <row r="204" spans="7:7" ht="14.25" customHeight="1" x14ac:dyDescent="0.2">
      <c r="G204" s="861"/>
    </row>
    <row r="205" spans="7:7" ht="14.25" customHeight="1" x14ac:dyDescent="0.2">
      <c r="G205" s="861"/>
    </row>
    <row r="206" spans="7:7" ht="14.25" customHeight="1" x14ac:dyDescent="0.2">
      <c r="G206" s="861"/>
    </row>
    <row r="207" spans="7:7" ht="14.25" customHeight="1" x14ac:dyDescent="0.2">
      <c r="G207" s="861"/>
    </row>
    <row r="208" spans="7:7" ht="14.25" customHeight="1" x14ac:dyDescent="0.2">
      <c r="G208" s="861"/>
    </row>
    <row r="209" spans="7:7" ht="14.25" customHeight="1" x14ac:dyDescent="0.2">
      <c r="G209" s="861"/>
    </row>
    <row r="210" spans="7:7" ht="14.25" customHeight="1" x14ac:dyDescent="0.2">
      <c r="G210" s="861"/>
    </row>
    <row r="211" spans="7:7" ht="14.25" customHeight="1" x14ac:dyDescent="0.2">
      <c r="G211" s="861"/>
    </row>
    <row r="212" spans="7:7" ht="14.25" customHeight="1" x14ac:dyDescent="0.2">
      <c r="G212" s="861"/>
    </row>
    <row r="213" spans="7:7" ht="14.25" customHeight="1" x14ac:dyDescent="0.2">
      <c r="G213" s="861"/>
    </row>
    <row r="214" spans="7:7" ht="14.25" customHeight="1" x14ac:dyDescent="0.2">
      <c r="G214" s="861"/>
    </row>
    <row r="215" spans="7:7" ht="14.25" customHeight="1" x14ac:dyDescent="0.2">
      <c r="G215" s="861"/>
    </row>
    <row r="216" spans="7:7" ht="14.25" customHeight="1" x14ac:dyDescent="0.2">
      <c r="G216" s="861"/>
    </row>
    <row r="217" spans="7:7" ht="14.25" customHeight="1" x14ac:dyDescent="0.2">
      <c r="G217" s="861"/>
    </row>
    <row r="218" spans="7:7" ht="14.25" customHeight="1" x14ac:dyDescent="0.2">
      <c r="G218" s="861"/>
    </row>
    <row r="219" spans="7:7" ht="14.25" customHeight="1" x14ac:dyDescent="0.2">
      <c r="G219" s="861"/>
    </row>
    <row r="220" spans="7:7" ht="14.25" customHeight="1" x14ac:dyDescent="0.2">
      <c r="G220" s="861"/>
    </row>
    <row r="221" spans="7:7" ht="14.25" customHeight="1" x14ac:dyDescent="0.2">
      <c r="G221" s="861"/>
    </row>
    <row r="222" spans="7:7" ht="14.25" customHeight="1" x14ac:dyDescent="0.2">
      <c r="G222" s="861"/>
    </row>
    <row r="223" spans="7:7" ht="14.25" customHeight="1" x14ac:dyDescent="0.2">
      <c r="G223" s="861"/>
    </row>
    <row r="224" spans="7:7" ht="14.25" customHeight="1" x14ac:dyDescent="0.2">
      <c r="G224" s="861"/>
    </row>
    <row r="225" spans="7:7" ht="14.25" customHeight="1" x14ac:dyDescent="0.2">
      <c r="G225" s="861"/>
    </row>
    <row r="226" spans="7:7" ht="14.25" customHeight="1" x14ac:dyDescent="0.2">
      <c r="G226" s="861"/>
    </row>
    <row r="227" spans="7:7" ht="14.25" customHeight="1" x14ac:dyDescent="0.2">
      <c r="G227" s="861"/>
    </row>
    <row r="228" spans="7:7" ht="14.25" customHeight="1" x14ac:dyDescent="0.2">
      <c r="G228" s="861"/>
    </row>
    <row r="229" spans="7:7" ht="14.25" customHeight="1" x14ac:dyDescent="0.2">
      <c r="G229" s="861"/>
    </row>
    <row r="230" spans="7:7" ht="14.25" customHeight="1" x14ac:dyDescent="0.2">
      <c r="G230" s="861"/>
    </row>
    <row r="231" spans="7:7" ht="14.25" customHeight="1" x14ac:dyDescent="0.2">
      <c r="G231" s="861"/>
    </row>
    <row r="232" spans="7:7" ht="14.25" customHeight="1" x14ac:dyDescent="0.2">
      <c r="G232" s="861"/>
    </row>
    <row r="233" spans="7:7" ht="14.25" customHeight="1" x14ac:dyDescent="0.2">
      <c r="G233" s="861"/>
    </row>
    <row r="234" spans="7:7" ht="14.25" customHeight="1" x14ac:dyDescent="0.2">
      <c r="G234" s="861"/>
    </row>
    <row r="235" spans="7:7" ht="14.25" customHeight="1" x14ac:dyDescent="0.2">
      <c r="G235" s="861"/>
    </row>
    <row r="236" spans="7:7" ht="14.25" customHeight="1" x14ac:dyDescent="0.2">
      <c r="G236" s="861"/>
    </row>
    <row r="237" spans="7:7" ht="14.25" customHeight="1" x14ac:dyDescent="0.2">
      <c r="G237" s="861"/>
    </row>
    <row r="238" spans="7:7" ht="14.25" customHeight="1" x14ac:dyDescent="0.2">
      <c r="G238" s="861"/>
    </row>
    <row r="239" spans="7:7" ht="14.25" customHeight="1" x14ac:dyDescent="0.2">
      <c r="G239" s="861"/>
    </row>
    <row r="240" spans="7:7" ht="14.25" customHeight="1" x14ac:dyDescent="0.2">
      <c r="G240" s="861"/>
    </row>
    <row r="241" spans="7:7" ht="14.25" customHeight="1" x14ac:dyDescent="0.2">
      <c r="G241" s="861"/>
    </row>
    <row r="242" spans="7:7" ht="14.25" customHeight="1" x14ac:dyDescent="0.2">
      <c r="G242" s="861"/>
    </row>
    <row r="243" spans="7:7" ht="14.25" customHeight="1" x14ac:dyDescent="0.2">
      <c r="G243" s="861"/>
    </row>
    <row r="244" spans="7:7" ht="14.25" customHeight="1" x14ac:dyDescent="0.2">
      <c r="G244" s="861"/>
    </row>
    <row r="245" spans="7:7" ht="14.25" customHeight="1" x14ac:dyDescent="0.2">
      <c r="G245" s="861"/>
    </row>
    <row r="246" spans="7:7" ht="14.25" customHeight="1" x14ac:dyDescent="0.2">
      <c r="G246" s="861"/>
    </row>
    <row r="247" spans="7:7" ht="14.25" customHeight="1" x14ac:dyDescent="0.2">
      <c r="G247" s="861"/>
    </row>
    <row r="248" spans="7:7" ht="14.25" customHeight="1" x14ac:dyDescent="0.2">
      <c r="G248" s="861"/>
    </row>
    <row r="249" spans="7:7" ht="14.25" customHeight="1" x14ac:dyDescent="0.2">
      <c r="G249" s="861"/>
    </row>
    <row r="250" spans="7:7" ht="14.25" customHeight="1" x14ac:dyDescent="0.2">
      <c r="G250" s="861"/>
    </row>
    <row r="251" spans="7:7" ht="14.25" customHeight="1" x14ac:dyDescent="0.2">
      <c r="G251" s="861"/>
    </row>
    <row r="252" spans="7:7" ht="14.25" customHeight="1" x14ac:dyDescent="0.2">
      <c r="G252" s="861"/>
    </row>
    <row r="253" spans="7:7" ht="14.25" customHeight="1" x14ac:dyDescent="0.2">
      <c r="G253" s="861"/>
    </row>
    <row r="254" spans="7:7" ht="14.25" customHeight="1" x14ac:dyDescent="0.2">
      <c r="G254" s="861"/>
    </row>
    <row r="255" spans="7:7" ht="14.25" customHeight="1" x14ac:dyDescent="0.2">
      <c r="G255" s="861"/>
    </row>
    <row r="256" spans="7:7" ht="14.25" customHeight="1" x14ac:dyDescent="0.2">
      <c r="G256" s="861"/>
    </row>
    <row r="257" spans="7:7" ht="14.25" customHeight="1" x14ac:dyDescent="0.2">
      <c r="G257" s="861"/>
    </row>
    <row r="258" spans="7:7" ht="14.25" customHeight="1" x14ac:dyDescent="0.2">
      <c r="G258" s="861"/>
    </row>
    <row r="259" spans="7:7" ht="14.25" customHeight="1" x14ac:dyDescent="0.2">
      <c r="G259" s="861"/>
    </row>
    <row r="260" spans="7:7" ht="14.25" customHeight="1" x14ac:dyDescent="0.2">
      <c r="G260" s="861"/>
    </row>
    <row r="261" spans="7:7" ht="14.25" customHeight="1" x14ac:dyDescent="0.2">
      <c r="G261" s="861"/>
    </row>
    <row r="262" spans="7:7" ht="14.25" customHeight="1" x14ac:dyDescent="0.2">
      <c r="G262" s="861"/>
    </row>
    <row r="263" spans="7:7" ht="14.25" customHeight="1" x14ac:dyDescent="0.2">
      <c r="G263" s="861"/>
    </row>
    <row r="264" spans="7:7" ht="14.25" customHeight="1" x14ac:dyDescent="0.2">
      <c r="G264" s="861"/>
    </row>
    <row r="265" spans="7:7" ht="14.25" customHeight="1" x14ac:dyDescent="0.2">
      <c r="G265" s="861"/>
    </row>
    <row r="266" spans="7:7" ht="14.25" customHeight="1" x14ac:dyDescent="0.2">
      <c r="G266" s="861"/>
    </row>
    <row r="267" spans="7:7" ht="14.25" customHeight="1" x14ac:dyDescent="0.2">
      <c r="G267" s="861"/>
    </row>
    <row r="268" spans="7:7" ht="14.25" customHeight="1" x14ac:dyDescent="0.2">
      <c r="G268" s="861"/>
    </row>
    <row r="269" spans="7:7" ht="14.25" customHeight="1" x14ac:dyDescent="0.2">
      <c r="G269" s="861"/>
    </row>
    <row r="270" spans="7:7" ht="14.25" customHeight="1" x14ac:dyDescent="0.2">
      <c r="G270" s="861"/>
    </row>
    <row r="271" spans="7:7" ht="14.25" customHeight="1" x14ac:dyDescent="0.2">
      <c r="G271" s="861"/>
    </row>
    <row r="272" spans="7:7" ht="14.25" customHeight="1" x14ac:dyDescent="0.2">
      <c r="G272" s="861"/>
    </row>
    <row r="273" spans="1:10" ht="14.25" customHeight="1" x14ac:dyDescent="0.2">
      <c r="G273" s="861"/>
    </row>
    <row r="274" spans="1:10" ht="14.25" customHeight="1" x14ac:dyDescent="0.2">
      <c r="G274" s="861"/>
    </row>
    <row r="275" spans="1:10" ht="14.25" customHeight="1" x14ac:dyDescent="0.2">
      <c r="G275" s="861"/>
    </row>
    <row r="276" spans="1:10" s="690" customFormat="1" ht="30" customHeight="1" x14ac:dyDescent="0.2">
      <c r="A276" s="857"/>
      <c r="B276" s="858"/>
      <c r="C276" s="859"/>
      <c r="D276" s="859"/>
      <c r="E276" s="860"/>
      <c r="F276" s="859"/>
      <c r="I276" s="692"/>
      <c r="J276" s="847"/>
    </row>
    <row r="277" spans="1:10" ht="14.25" customHeight="1" x14ac:dyDescent="0.2">
      <c r="G277" s="861"/>
    </row>
    <row r="278" spans="1:10" ht="14.25" customHeight="1" x14ac:dyDescent="0.2">
      <c r="G278" s="861"/>
    </row>
    <row r="279" spans="1:10" ht="14.25" customHeight="1" x14ac:dyDescent="0.2">
      <c r="G279" s="861"/>
    </row>
    <row r="280" spans="1:10" ht="14.25" customHeight="1" x14ac:dyDescent="0.2">
      <c r="G280" s="861"/>
    </row>
    <row r="281" spans="1:10" ht="14.25" customHeight="1" x14ac:dyDescent="0.2">
      <c r="G281" s="861"/>
    </row>
    <row r="282" spans="1:10" ht="14.25" customHeight="1" x14ac:dyDescent="0.2">
      <c r="G282" s="861"/>
    </row>
    <row r="283" spans="1:10" ht="14.25" customHeight="1" x14ac:dyDescent="0.2">
      <c r="G283" s="861"/>
    </row>
    <row r="285" spans="1:10" s="690" customFormat="1" ht="30" customHeight="1" x14ac:dyDescent="0.2">
      <c r="A285" s="857"/>
      <c r="B285" s="858"/>
      <c r="C285" s="859"/>
      <c r="D285" s="859"/>
      <c r="E285" s="860"/>
      <c r="F285" s="859"/>
      <c r="I285" s="692"/>
      <c r="J285" s="847"/>
    </row>
    <row r="286" spans="1:10" ht="13.15" customHeight="1" x14ac:dyDescent="0.2"/>
    <row r="291" spans="2:10" s="857" customFormat="1" ht="13.15" customHeight="1" x14ac:dyDescent="0.2">
      <c r="B291" s="858"/>
      <c r="C291" s="859"/>
      <c r="D291" s="859"/>
      <c r="E291" s="860"/>
      <c r="F291" s="859"/>
      <c r="G291" s="676"/>
      <c r="H291" s="676"/>
      <c r="I291" s="831"/>
      <c r="J291" s="832"/>
    </row>
    <row r="293" spans="2:10" s="857" customFormat="1" ht="13.15" customHeight="1" x14ac:dyDescent="0.2">
      <c r="B293" s="858"/>
      <c r="C293" s="859"/>
      <c r="D293" s="859"/>
      <c r="E293" s="860"/>
      <c r="F293" s="859"/>
      <c r="G293" s="676"/>
      <c r="H293" s="676"/>
      <c r="I293" s="831"/>
      <c r="J293" s="832"/>
    </row>
    <row r="297" spans="2:10" s="857" customFormat="1" ht="13.15" customHeight="1" x14ac:dyDescent="0.2">
      <c r="B297" s="858"/>
      <c r="C297" s="859"/>
      <c r="D297" s="859"/>
      <c r="E297" s="860"/>
      <c r="F297" s="859"/>
      <c r="G297" s="676"/>
      <c r="H297" s="676"/>
      <c r="I297" s="831"/>
      <c r="J297" s="832"/>
    </row>
    <row r="301" spans="2:10" s="857" customFormat="1" ht="13.15" customHeight="1" x14ac:dyDescent="0.2">
      <c r="B301" s="858"/>
      <c r="C301" s="859"/>
      <c r="D301" s="859"/>
      <c r="E301" s="860"/>
      <c r="F301" s="859"/>
      <c r="G301" s="676"/>
      <c r="H301" s="676"/>
      <c r="I301" s="831"/>
      <c r="J301" s="832"/>
    </row>
    <row r="309" spans="2:10" s="857" customFormat="1" ht="13.15" customHeight="1" x14ac:dyDescent="0.2">
      <c r="B309" s="858"/>
      <c r="C309" s="859"/>
      <c r="D309" s="859"/>
      <c r="E309" s="860"/>
      <c r="F309" s="859"/>
      <c r="G309" s="676"/>
      <c r="H309" s="676"/>
      <c r="I309" s="831"/>
      <c r="J309" s="832"/>
    </row>
  </sheetData>
  <mergeCells count="8">
    <mergeCell ref="A1:F1"/>
    <mergeCell ref="A2:F2"/>
    <mergeCell ref="A5:A7"/>
    <mergeCell ref="B5:B7"/>
    <mergeCell ref="C5:C7"/>
    <mergeCell ref="D5:D6"/>
    <mergeCell ref="E5:E6"/>
    <mergeCell ref="F5:F6"/>
  </mergeCells>
  <pageMargins left="0.7" right="0.7" top="0.75" bottom="0.75" header="0.3" footer="0.3"/>
  <pageSetup paperSize="9" scale="86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2EA38-4293-4204-9540-B4E9BA10EB37}">
  <sheetPr>
    <tabColor theme="5" tint="0.59999389629810485"/>
  </sheetPr>
  <dimension ref="A1:P70"/>
  <sheetViews>
    <sheetView view="pageBreakPreview" zoomScaleNormal="100" zoomScaleSheetLayoutView="100" workbookViewId="0">
      <selection activeCell="B2" sqref="B2"/>
    </sheetView>
  </sheetViews>
  <sheetFormatPr defaultRowHeight="12.75" x14ac:dyDescent="0.2"/>
  <cols>
    <col min="1" max="1" width="26.85546875" style="877" customWidth="1"/>
    <col min="2" max="2" width="7.42578125" style="877" customWidth="1"/>
    <col min="3" max="3" width="4.85546875" style="877" customWidth="1"/>
    <col min="4" max="4" width="7" style="877" bestFit="1" customWidth="1"/>
    <col min="5" max="5" width="7.85546875" style="877" customWidth="1"/>
    <col min="6" max="6" width="5.5703125" style="877" customWidth="1"/>
    <col min="7" max="7" width="6.42578125" style="877" bestFit="1" customWidth="1"/>
    <col min="8" max="8" width="6.7109375" style="877" customWidth="1"/>
    <col min="9" max="9" width="6.85546875" style="877" customWidth="1"/>
    <col min="10" max="10" width="7" style="877" bestFit="1" customWidth="1"/>
    <col min="11" max="11" width="10.28515625" style="877" bestFit="1" customWidth="1"/>
    <col min="12" max="12" width="9.28515625" style="877" bestFit="1" customWidth="1"/>
    <col min="13" max="13" width="9.140625" style="877"/>
    <col min="14" max="14" width="9.28515625" style="877" bestFit="1" customWidth="1"/>
    <col min="15" max="15" width="13.28515625" style="877" customWidth="1"/>
    <col min="16" max="256" width="9.140625" style="877"/>
    <col min="257" max="257" width="26.85546875" style="877" customWidth="1"/>
    <col min="258" max="258" width="7.42578125" style="877" customWidth="1"/>
    <col min="259" max="259" width="4.85546875" style="877" customWidth="1"/>
    <col min="260" max="260" width="7" style="877" bestFit="1" customWidth="1"/>
    <col min="261" max="261" width="7.85546875" style="877" customWidth="1"/>
    <col min="262" max="262" width="5.5703125" style="877" customWidth="1"/>
    <col min="263" max="263" width="6.42578125" style="877" bestFit="1" customWidth="1"/>
    <col min="264" max="264" width="6.7109375" style="877" customWidth="1"/>
    <col min="265" max="265" width="6.85546875" style="877" customWidth="1"/>
    <col min="266" max="266" width="7" style="877" bestFit="1" customWidth="1"/>
    <col min="267" max="267" width="10.28515625" style="877" bestFit="1" customWidth="1"/>
    <col min="268" max="268" width="9.28515625" style="877" bestFit="1" customWidth="1"/>
    <col min="269" max="269" width="9.140625" style="877"/>
    <col min="270" max="270" width="9.28515625" style="877" bestFit="1" customWidth="1"/>
    <col min="271" max="271" width="13.28515625" style="877" customWidth="1"/>
    <col min="272" max="512" width="9.140625" style="877"/>
    <col min="513" max="513" width="26.85546875" style="877" customWidth="1"/>
    <col min="514" max="514" width="7.42578125" style="877" customWidth="1"/>
    <col min="515" max="515" width="4.85546875" style="877" customWidth="1"/>
    <col min="516" max="516" width="7" style="877" bestFit="1" customWidth="1"/>
    <col min="517" max="517" width="7.85546875" style="877" customWidth="1"/>
    <col min="518" max="518" width="5.5703125" style="877" customWidth="1"/>
    <col min="519" max="519" width="6.42578125" style="877" bestFit="1" customWidth="1"/>
    <col min="520" max="520" width="6.7109375" style="877" customWidth="1"/>
    <col min="521" max="521" width="6.85546875" style="877" customWidth="1"/>
    <col min="522" max="522" width="7" style="877" bestFit="1" customWidth="1"/>
    <col min="523" max="523" width="10.28515625" style="877" bestFit="1" customWidth="1"/>
    <col min="524" max="524" width="9.28515625" style="877" bestFit="1" customWidth="1"/>
    <col min="525" max="525" width="9.140625" style="877"/>
    <col min="526" max="526" width="9.28515625" style="877" bestFit="1" customWidth="1"/>
    <col min="527" max="527" width="13.28515625" style="877" customWidth="1"/>
    <col min="528" max="768" width="9.140625" style="877"/>
    <col min="769" max="769" width="26.85546875" style="877" customWidth="1"/>
    <col min="770" max="770" width="7.42578125" style="877" customWidth="1"/>
    <col min="771" max="771" width="4.85546875" style="877" customWidth="1"/>
    <col min="772" max="772" width="7" style="877" bestFit="1" customWidth="1"/>
    <col min="773" max="773" width="7.85546875" style="877" customWidth="1"/>
    <col min="774" max="774" width="5.5703125" style="877" customWidth="1"/>
    <col min="775" max="775" width="6.42578125" style="877" bestFit="1" customWidth="1"/>
    <col min="776" max="776" width="6.7109375" style="877" customWidth="1"/>
    <col min="777" max="777" width="6.85546875" style="877" customWidth="1"/>
    <col min="778" max="778" width="7" style="877" bestFit="1" customWidth="1"/>
    <col min="779" max="779" width="10.28515625" style="877" bestFit="1" customWidth="1"/>
    <col min="780" max="780" width="9.28515625" style="877" bestFit="1" customWidth="1"/>
    <col min="781" max="781" width="9.140625" style="877"/>
    <col min="782" max="782" width="9.28515625" style="877" bestFit="1" customWidth="1"/>
    <col min="783" max="783" width="13.28515625" style="877" customWidth="1"/>
    <col min="784" max="1024" width="9.140625" style="877"/>
    <col min="1025" max="1025" width="26.85546875" style="877" customWidth="1"/>
    <col min="1026" max="1026" width="7.42578125" style="877" customWidth="1"/>
    <col min="1027" max="1027" width="4.85546875" style="877" customWidth="1"/>
    <col min="1028" max="1028" width="7" style="877" bestFit="1" customWidth="1"/>
    <col min="1029" max="1029" width="7.85546875" style="877" customWidth="1"/>
    <col min="1030" max="1030" width="5.5703125" style="877" customWidth="1"/>
    <col min="1031" max="1031" width="6.42578125" style="877" bestFit="1" customWidth="1"/>
    <col min="1032" max="1032" width="6.7109375" style="877" customWidth="1"/>
    <col min="1033" max="1033" width="6.85546875" style="877" customWidth="1"/>
    <col min="1034" max="1034" width="7" style="877" bestFit="1" customWidth="1"/>
    <col min="1035" max="1035" width="10.28515625" style="877" bestFit="1" customWidth="1"/>
    <col min="1036" max="1036" width="9.28515625" style="877" bestFit="1" customWidth="1"/>
    <col min="1037" max="1037" width="9.140625" style="877"/>
    <col min="1038" max="1038" width="9.28515625" style="877" bestFit="1" customWidth="1"/>
    <col min="1039" max="1039" width="13.28515625" style="877" customWidth="1"/>
    <col min="1040" max="1280" width="9.140625" style="877"/>
    <col min="1281" max="1281" width="26.85546875" style="877" customWidth="1"/>
    <col min="1282" max="1282" width="7.42578125" style="877" customWidth="1"/>
    <col min="1283" max="1283" width="4.85546875" style="877" customWidth="1"/>
    <col min="1284" max="1284" width="7" style="877" bestFit="1" customWidth="1"/>
    <col min="1285" max="1285" width="7.85546875" style="877" customWidth="1"/>
    <col min="1286" max="1286" width="5.5703125" style="877" customWidth="1"/>
    <col min="1287" max="1287" width="6.42578125" style="877" bestFit="1" customWidth="1"/>
    <col min="1288" max="1288" width="6.7109375" style="877" customWidth="1"/>
    <col min="1289" max="1289" width="6.85546875" style="877" customWidth="1"/>
    <col min="1290" max="1290" width="7" style="877" bestFit="1" customWidth="1"/>
    <col min="1291" max="1291" width="10.28515625" style="877" bestFit="1" customWidth="1"/>
    <col min="1292" max="1292" width="9.28515625" style="877" bestFit="1" customWidth="1"/>
    <col min="1293" max="1293" width="9.140625" style="877"/>
    <col min="1294" max="1294" width="9.28515625" style="877" bestFit="1" customWidth="1"/>
    <col min="1295" max="1295" width="13.28515625" style="877" customWidth="1"/>
    <col min="1296" max="1536" width="9.140625" style="877"/>
    <col min="1537" max="1537" width="26.85546875" style="877" customWidth="1"/>
    <col min="1538" max="1538" width="7.42578125" style="877" customWidth="1"/>
    <col min="1539" max="1539" width="4.85546875" style="877" customWidth="1"/>
    <col min="1540" max="1540" width="7" style="877" bestFit="1" customWidth="1"/>
    <col min="1541" max="1541" width="7.85546875" style="877" customWidth="1"/>
    <col min="1542" max="1542" width="5.5703125" style="877" customWidth="1"/>
    <col min="1543" max="1543" width="6.42578125" style="877" bestFit="1" customWidth="1"/>
    <col min="1544" max="1544" width="6.7109375" style="877" customWidth="1"/>
    <col min="1545" max="1545" width="6.85546875" style="877" customWidth="1"/>
    <col min="1546" max="1546" width="7" style="877" bestFit="1" customWidth="1"/>
    <col min="1547" max="1547" width="10.28515625" style="877" bestFit="1" customWidth="1"/>
    <col min="1548" max="1548" width="9.28515625" style="877" bestFit="1" customWidth="1"/>
    <col min="1549" max="1549" width="9.140625" style="877"/>
    <col min="1550" max="1550" width="9.28515625" style="877" bestFit="1" customWidth="1"/>
    <col min="1551" max="1551" width="13.28515625" style="877" customWidth="1"/>
    <col min="1552" max="1792" width="9.140625" style="877"/>
    <col min="1793" max="1793" width="26.85546875" style="877" customWidth="1"/>
    <col min="1794" max="1794" width="7.42578125" style="877" customWidth="1"/>
    <col min="1795" max="1795" width="4.85546875" style="877" customWidth="1"/>
    <col min="1796" max="1796" width="7" style="877" bestFit="1" customWidth="1"/>
    <col min="1797" max="1797" width="7.85546875" style="877" customWidth="1"/>
    <col min="1798" max="1798" width="5.5703125" style="877" customWidth="1"/>
    <col min="1799" max="1799" width="6.42578125" style="877" bestFit="1" customWidth="1"/>
    <col min="1800" max="1800" width="6.7109375" style="877" customWidth="1"/>
    <col min="1801" max="1801" width="6.85546875" style="877" customWidth="1"/>
    <col min="1802" max="1802" width="7" style="877" bestFit="1" customWidth="1"/>
    <col min="1803" max="1803" width="10.28515625" style="877" bestFit="1" customWidth="1"/>
    <col min="1804" max="1804" width="9.28515625" style="877" bestFit="1" customWidth="1"/>
    <col min="1805" max="1805" width="9.140625" style="877"/>
    <col min="1806" max="1806" width="9.28515625" style="877" bestFit="1" customWidth="1"/>
    <col min="1807" max="1807" width="13.28515625" style="877" customWidth="1"/>
    <col min="1808" max="2048" width="9.140625" style="877"/>
    <col min="2049" max="2049" width="26.85546875" style="877" customWidth="1"/>
    <col min="2050" max="2050" width="7.42578125" style="877" customWidth="1"/>
    <col min="2051" max="2051" width="4.85546875" style="877" customWidth="1"/>
    <col min="2052" max="2052" width="7" style="877" bestFit="1" customWidth="1"/>
    <col min="2053" max="2053" width="7.85546875" style="877" customWidth="1"/>
    <col min="2054" max="2054" width="5.5703125" style="877" customWidth="1"/>
    <col min="2055" max="2055" width="6.42578125" style="877" bestFit="1" customWidth="1"/>
    <col min="2056" max="2056" width="6.7109375" style="877" customWidth="1"/>
    <col min="2057" max="2057" width="6.85546875" style="877" customWidth="1"/>
    <col min="2058" max="2058" width="7" style="877" bestFit="1" customWidth="1"/>
    <col min="2059" max="2059" width="10.28515625" style="877" bestFit="1" customWidth="1"/>
    <col min="2060" max="2060" width="9.28515625" style="877" bestFit="1" customWidth="1"/>
    <col min="2061" max="2061" width="9.140625" style="877"/>
    <col min="2062" max="2062" width="9.28515625" style="877" bestFit="1" customWidth="1"/>
    <col min="2063" max="2063" width="13.28515625" style="877" customWidth="1"/>
    <col min="2064" max="2304" width="9.140625" style="877"/>
    <col min="2305" max="2305" width="26.85546875" style="877" customWidth="1"/>
    <col min="2306" max="2306" width="7.42578125" style="877" customWidth="1"/>
    <col min="2307" max="2307" width="4.85546875" style="877" customWidth="1"/>
    <col min="2308" max="2308" width="7" style="877" bestFit="1" customWidth="1"/>
    <col min="2309" max="2309" width="7.85546875" style="877" customWidth="1"/>
    <col min="2310" max="2310" width="5.5703125" style="877" customWidth="1"/>
    <col min="2311" max="2311" width="6.42578125" style="877" bestFit="1" customWidth="1"/>
    <col min="2312" max="2312" width="6.7109375" style="877" customWidth="1"/>
    <col min="2313" max="2313" width="6.85546875" style="877" customWidth="1"/>
    <col min="2314" max="2314" width="7" style="877" bestFit="1" customWidth="1"/>
    <col min="2315" max="2315" width="10.28515625" style="877" bestFit="1" customWidth="1"/>
    <col min="2316" max="2316" width="9.28515625" style="877" bestFit="1" customWidth="1"/>
    <col min="2317" max="2317" width="9.140625" style="877"/>
    <col min="2318" max="2318" width="9.28515625" style="877" bestFit="1" customWidth="1"/>
    <col min="2319" max="2319" width="13.28515625" style="877" customWidth="1"/>
    <col min="2320" max="2560" width="9.140625" style="877"/>
    <col min="2561" max="2561" width="26.85546875" style="877" customWidth="1"/>
    <col min="2562" max="2562" width="7.42578125" style="877" customWidth="1"/>
    <col min="2563" max="2563" width="4.85546875" style="877" customWidth="1"/>
    <col min="2564" max="2564" width="7" style="877" bestFit="1" customWidth="1"/>
    <col min="2565" max="2565" width="7.85546875" style="877" customWidth="1"/>
    <col min="2566" max="2566" width="5.5703125" style="877" customWidth="1"/>
    <col min="2567" max="2567" width="6.42578125" style="877" bestFit="1" customWidth="1"/>
    <col min="2568" max="2568" width="6.7109375" style="877" customWidth="1"/>
    <col min="2569" max="2569" width="6.85546875" style="877" customWidth="1"/>
    <col min="2570" max="2570" width="7" style="877" bestFit="1" customWidth="1"/>
    <col min="2571" max="2571" width="10.28515625" style="877" bestFit="1" customWidth="1"/>
    <col min="2572" max="2572" width="9.28515625" style="877" bestFit="1" customWidth="1"/>
    <col min="2573" max="2573" width="9.140625" style="877"/>
    <col min="2574" max="2574" width="9.28515625" style="877" bestFit="1" customWidth="1"/>
    <col min="2575" max="2575" width="13.28515625" style="877" customWidth="1"/>
    <col min="2576" max="2816" width="9.140625" style="877"/>
    <col min="2817" max="2817" width="26.85546875" style="877" customWidth="1"/>
    <col min="2818" max="2818" width="7.42578125" style="877" customWidth="1"/>
    <col min="2819" max="2819" width="4.85546875" style="877" customWidth="1"/>
    <col min="2820" max="2820" width="7" style="877" bestFit="1" customWidth="1"/>
    <col min="2821" max="2821" width="7.85546875" style="877" customWidth="1"/>
    <col min="2822" max="2822" width="5.5703125" style="877" customWidth="1"/>
    <col min="2823" max="2823" width="6.42578125" style="877" bestFit="1" customWidth="1"/>
    <col min="2824" max="2824" width="6.7109375" style="877" customWidth="1"/>
    <col min="2825" max="2825" width="6.85546875" style="877" customWidth="1"/>
    <col min="2826" max="2826" width="7" style="877" bestFit="1" customWidth="1"/>
    <col min="2827" max="2827" width="10.28515625" style="877" bestFit="1" customWidth="1"/>
    <col min="2828" max="2828" width="9.28515625" style="877" bestFit="1" customWidth="1"/>
    <col min="2829" max="2829" width="9.140625" style="877"/>
    <col min="2830" max="2830" width="9.28515625" style="877" bestFit="1" customWidth="1"/>
    <col min="2831" max="2831" width="13.28515625" style="877" customWidth="1"/>
    <col min="2832" max="3072" width="9.140625" style="877"/>
    <col min="3073" max="3073" width="26.85546875" style="877" customWidth="1"/>
    <col min="3074" max="3074" width="7.42578125" style="877" customWidth="1"/>
    <col min="3075" max="3075" width="4.85546875" style="877" customWidth="1"/>
    <col min="3076" max="3076" width="7" style="877" bestFit="1" customWidth="1"/>
    <col min="3077" max="3077" width="7.85546875" style="877" customWidth="1"/>
    <col min="3078" max="3078" width="5.5703125" style="877" customWidth="1"/>
    <col min="3079" max="3079" width="6.42578125" style="877" bestFit="1" customWidth="1"/>
    <col min="3080" max="3080" width="6.7109375" style="877" customWidth="1"/>
    <col min="3081" max="3081" width="6.85546875" style="877" customWidth="1"/>
    <col min="3082" max="3082" width="7" style="877" bestFit="1" customWidth="1"/>
    <col min="3083" max="3083" width="10.28515625" style="877" bestFit="1" customWidth="1"/>
    <col min="3084" max="3084" width="9.28515625" style="877" bestFit="1" customWidth="1"/>
    <col min="3085" max="3085" width="9.140625" style="877"/>
    <col min="3086" max="3086" width="9.28515625" style="877" bestFit="1" customWidth="1"/>
    <col min="3087" max="3087" width="13.28515625" style="877" customWidth="1"/>
    <col min="3088" max="3328" width="9.140625" style="877"/>
    <col min="3329" max="3329" width="26.85546875" style="877" customWidth="1"/>
    <col min="3330" max="3330" width="7.42578125" style="877" customWidth="1"/>
    <col min="3331" max="3331" width="4.85546875" style="877" customWidth="1"/>
    <col min="3332" max="3332" width="7" style="877" bestFit="1" customWidth="1"/>
    <col min="3333" max="3333" width="7.85546875" style="877" customWidth="1"/>
    <col min="3334" max="3334" width="5.5703125" style="877" customWidth="1"/>
    <col min="3335" max="3335" width="6.42578125" style="877" bestFit="1" customWidth="1"/>
    <col min="3336" max="3336" width="6.7109375" style="877" customWidth="1"/>
    <col min="3337" max="3337" width="6.85546875" style="877" customWidth="1"/>
    <col min="3338" max="3338" width="7" style="877" bestFit="1" customWidth="1"/>
    <col min="3339" max="3339" width="10.28515625" style="877" bestFit="1" customWidth="1"/>
    <col min="3340" max="3340" width="9.28515625" style="877" bestFit="1" customWidth="1"/>
    <col min="3341" max="3341" width="9.140625" style="877"/>
    <col min="3342" max="3342" width="9.28515625" style="877" bestFit="1" customWidth="1"/>
    <col min="3343" max="3343" width="13.28515625" style="877" customWidth="1"/>
    <col min="3344" max="3584" width="9.140625" style="877"/>
    <col min="3585" max="3585" width="26.85546875" style="877" customWidth="1"/>
    <col min="3586" max="3586" width="7.42578125" style="877" customWidth="1"/>
    <col min="3587" max="3587" width="4.85546875" style="877" customWidth="1"/>
    <col min="3588" max="3588" width="7" style="877" bestFit="1" customWidth="1"/>
    <col min="3589" max="3589" width="7.85546875" style="877" customWidth="1"/>
    <col min="3590" max="3590" width="5.5703125" style="877" customWidth="1"/>
    <col min="3591" max="3591" width="6.42578125" style="877" bestFit="1" customWidth="1"/>
    <col min="3592" max="3592" width="6.7109375" style="877" customWidth="1"/>
    <col min="3593" max="3593" width="6.85546875" style="877" customWidth="1"/>
    <col min="3594" max="3594" width="7" style="877" bestFit="1" customWidth="1"/>
    <col min="3595" max="3595" width="10.28515625" style="877" bestFit="1" customWidth="1"/>
    <col min="3596" max="3596" width="9.28515625" style="877" bestFit="1" customWidth="1"/>
    <col min="3597" max="3597" width="9.140625" style="877"/>
    <col min="3598" max="3598" width="9.28515625" style="877" bestFit="1" customWidth="1"/>
    <col min="3599" max="3599" width="13.28515625" style="877" customWidth="1"/>
    <col min="3600" max="3840" width="9.140625" style="877"/>
    <col min="3841" max="3841" width="26.85546875" style="877" customWidth="1"/>
    <col min="3842" max="3842" width="7.42578125" style="877" customWidth="1"/>
    <col min="3843" max="3843" width="4.85546875" style="877" customWidth="1"/>
    <col min="3844" max="3844" width="7" style="877" bestFit="1" customWidth="1"/>
    <col min="3845" max="3845" width="7.85546875" style="877" customWidth="1"/>
    <col min="3846" max="3846" width="5.5703125" style="877" customWidth="1"/>
    <col min="3847" max="3847" width="6.42578125" style="877" bestFit="1" customWidth="1"/>
    <col min="3848" max="3848" width="6.7109375" style="877" customWidth="1"/>
    <col min="3849" max="3849" width="6.85546875" style="877" customWidth="1"/>
    <col min="3850" max="3850" width="7" style="877" bestFit="1" customWidth="1"/>
    <col min="3851" max="3851" width="10.28515625" style="877" bestFit="1" customWidth="1"/>
    <col min="3852" max="3852" width="9.28515625" style="877" bestFit="1" customWidth="1"/>
    <col min="3853" max="3853" width="9.140625" style="877"/>
    <col min="3854" max="3854" width="9.28515625" style="877" bestFit="1" customWidth="1"/>
    <col min="3855" max="3855" width="13.28515625" style="877" customWidth="1"/>
    <col min="3856" max="4096" width="9.140625" style="877"/>
    <col min="4097" max="4097" width="26.85546875" style="877" customWidth="1"/>
    <col min="4098" max="4098" width="7.42578125" style="877" customWidth="1"/>
    <col min="4099" max="4099" width="4.85546875" style="877" customWidth="1"/>
    <col min="4100" max="4100" width="7" style="877" bestFit="1" customWidth="1"/>
    <col min="4101" max="4101" width="7.85546875" style="877" customWidth="1"/>
    <col min="4102" max="4102" width="5.5703125" style="877" customWidth="1"/>
    <col min="4103" max="4103" width="6.42578125" style="877" bestFit="1" customWidth="1"/>
    <col min="4104" max="4104" width="6.7109375" style="877" customWidth="1"/>
    <col min="4105" max="4105" width="6.85546875" style="877" customWidth="1"/>
    <col min="4106" max="4106" width="7" style="877" bestFit="1" customWidth="1"/>
    <col min="4107" max="4107" width="10.28515625" style="877" bestFit="1" customWidth="1"/>
    <col min="4108" max="4108" width="9.28515625" style="877" bestFit="1" customWidth="1"/>
    <col min="4109" max="4109" width="9.140625" style="877"/>
    <col min="4110" max="4110" width="9.28515625" style="877" bestFit="1" customWidth="1"/>
    <col min="4111" max="4111" width="13.28515625" style="877" customWidth="1"/>
    <col min="4112" max="4352" width="9.140625" style="877"/>
    <col min="4353" max="4353" width="26.85546875" style="877" customWidth="1"/>
    <col min="4354" max="4354" width="7.42578125" style="877" customWidth="1"/>
    <col min="4355" max="4355" width="4.85546875" style="877" customWidth="1"/>
    <col min="4356" max="4356" width="7" style="877" bestFit="1" customWidth="1"/>
    <col min="4357" max="4357" width="7.85546875" style="877" customWidth="1"/>
    <col min="4358" max="4358" width="5.5703125" style="877" customWidth="1"/>
    <col min="4359" max="4359" width="6.42578125" style="877" bestFit="1" customWidth="1"/>
    <col min="4360" max="4360" width="6.7109375" style="877" customWidth="1"/>
    <col min="4361" max="4361" width="6.85546875" style="877" customWidth="1"/>
    <col min="4362" max="4362" width="7" style="877" bestFit="1" customWidth="1"/>
    <col min="4363" max="4363" width="10.28515625" style="877" bestFit="1" customWidth="1"/>
    <col min="4364" max="4364" width="9.28515625" style="877" bestFit="1" customWidth="1"/>
    <col min="4365" max="4365" width="9.140625" style="877"/>
    <col min="4366" max="4366" width="9.28515625" style="877" bestFit="1" customWidth="1"/>
    <col min="4367" max="4367" width="13.28515625" style="877" customWidth="1"/>
    <col min="4368" max="4608" width="9.140625" style="877"/>
    <col min="4609" max="4609" width="26.85546875" style="877" customWidth="1"/>
    <col min="4610" max="4610" width="7.42578125" style="877" customWidth="1"/>
    <col min="4611" max="4611" width="4.85546875" style="877" customWidth="1"/>
    <col min="4612" max="4612" width="7" style="877" bestFit="1" customWidth="1"/>
    <col min="4613" max="4613" width="7.85546875" style="877" customWidth="1"/>
    <col min="4614" max="4614" width="5.5703125" style="877" customWidth="1"/>
    <col min="4615" max="4615" width="6.42578125" style="877" bestFit="1" customWidth="1"/>
    <col min="4616" max="4616" width="6.7109375" style="877" customWidth="1"/>
    <col min="4617" max="4617" width="6.85546875" style="877" customWidth="1"/>
    <col min="4618" max="4618" width="7" style="877" bestFit="1" customWidth="1"/>
    <col min="4619" max="4619" width="10.28515625" style="877" bestFit="1" customWidth="1"/>
    <col min="4620" max="4620" width="9.28515625" style="877" bestFit="1" customWidth="1"/>
    <col min="4621" max="4621" width="9.140625" style="877"/>
    <col min="4622" max="4622" width="9.28515625" style="877" bestFit="1" customWidth="1"/>
    <col min="4623" max="4623" width="13.28515625" style="877" customWidth="1"/>
    <col min="4624" max="4864" width="9.140625" style="877"/>
    <col min="4865" max="4865" width="26.85546875" style="877" customWidth="1"/>
    <col min="4866" max="4866" width="7.42578125" style="877" customWidth="1"/>
    <col min="4867" max="4867" width="4.85546875" style="877" customWidth="1"/>
    <col min="4868" max="4868" width="7" style="877" bestFit="1" customWidth="1"/>
    <col min="4869" max="4869" width="7.85546875" style="877" customWidth="1"/>
    <col min="4870" max="4870" width="5.5703125" style="877" customWidth="1"/>
    <col min="4871" max="4871" width="6.42578125" style="877" bestFit="1" customWidth="1"/>
    <col min="4872" max="4872" width="6.7109375" style="877" customWidth="1"/>
    <col min="4873" max="4873" width="6.85546875" style="877" customWidth="1"/>
    <col min="4874" max="4874" width="7" style="877" bestFit="1" customWidth="1"/>
    <col min="4875" max="4875" width="10.28515625" style="877" bestFit="1" customWidth="1"/>
    <col min="4876" max="4876" width="9.28515625" style="877" bestFit="1" customWidth="1"/>
    <col min="4877" max="4877" width="9.140625" style="877"/>
    <col min="4878" max="4878" width="9.28515625" style="877" bestFit="1" customWidth="1"/>
    <col min="4879" max="4879" width="13.28515625" style="877" customWidth="1"/>
    <col min="4880" max="5120" width="9.140625" style="877"/>
    <col min="5121" max="5121" width="26.85546875" style="877" customWidth="1"/>
    <col min="5122" max="5122" width="7.42578125" style="877" customWidth="1"/>
    <col min="5123" max="5123" width="4.85546875" style="877" customWidth="1"/>
    <col min="5124" max="5124" width="7" style="877" bestFit="1" customWidth="1"/>
    <col min="5125" max="5125" width="7.85546875" style="877" customWidth="1"/>
    <col min="5126" max="5126" width="5.5703125" style="877" customWidth="1"/>
    <col min="5127" max="5127" width="6.42578125" style="877" bestFit="1" customWidth="1"/>
    <col min="5128" max="5128" width="6.7109375" style="877" customWidth="1"/>
    <col min="5129" max="5129" width="6.85546875" style="877" customWidth="1"/>
    <col min="5130" max="5130" width="7" style="877" bestFit="1" customWidth="1"/>
    <col min="5131" max="5131" width="10.28515625" style="877" bestFit="1" customWidth="1"/>
    <col min="5132" max="5132" width="9.28515625" style="877" bestFit="1" customWidth="1"/>
    <col min="5133" max="5133" width="9.140625" style="877"/>
    <col min="5134" max="5134" width="9.28515625" style="877" bestFit="1" customWidth="1"/>
    <col min="5135" max="5135" width="13.28515625" style="877" customWidth="1"/>
    <col min="5136" max="5376" width="9.140625" style="877"/>
    <col min="5377" max="5377" width="26.85546875" style="877" customWidth="1"/>
    <col min="5378" max="5378" width="7.42578125" style="877" customWidth="1"/>
    <col min="5379" max="5379" width="4.85546875" style="877" customWidth="1"/>
    <col min="5380" max="5380" width="7" style="877" bestFit="1" customWidth="1"/>
    <col min="5381" max="5381" width="7.85546875" style="877" customWidth="1"/>
    <col min="5382" max="5382" width="5.5703125" style="877" customWidth="1"/>
    <col min="5383" max="5383" width="6.42578125" style="877" bestFit="1" customWidth="1"/>
    <col min="5384" max="5384" width="6.7109375" style="877" customWidth="1"/>
    <col min="5385" max="5385" width="6.85546875" style="877" customWidth="1"/>
    <col min="5386" max="5386" width="7" style="877" bestFit="1" customWidth="1"/>
    <col min="5387" max="5387" width="10.28515625" style="877" bestFit="1" customWidth="1"/>
    <col min="5388" max="5388" width="9.28515625" style="877" bestFit="1" customWidth="1"/>
    <col min="5389" max="5389" width="9.140625" style="877"/>
    <col min="5390" max="5390" width="9.28515625" style="877" bestFit="1" customWidth="1"/>
    <col min="5391" max="5391" width="13.28515625" style="877" customWidth="1"/>
    <col min="5392" max="5632" width="9.140625" style="877"/>
    <col min="5633" max="5633" width="26.85546875" style="877" customWidth="1"/>
    <col min="5634" max="5634" width="7.42578125" style="877" customWidth="1"/>
    <col min="5635" max="5635" width="4.85546875" style="877" customWidth="1"/>
    <col min="5636" max="5636" width="7" style="877" bestFit="1" customWidth="1"/>
    <col min="5637" max="5637" width="7.85546875" style="877" customWidth="1"/>
    <col min="5638" max="5638" width="5.5703125" style="877" customWidth="1"/>
    <col min="5639" max="5639" width="6.42578125" style="877" bestFit="1" customWidth="1"/>
    <col min="5640" max="5640" width="6.7109375" style="877" customWidth="1"/>
    <col min="5641" max="5641" width="6.85546875" style="877" customWidth="1"/>
    <col min="5642" max="5642" width="7" style="877" bestFit="1" customWidth="1"/>
    <col min="5643" max="5643" width="10.28515625" style="877" bestFit="1" customWidth="1"/>
    <col min="5644" max="5644" width="9.28515625" style="877" bestFit="1" customWidth="1"/>
    <col min="5645" max="5645" width="9.140625" style="877"/>
    <col min="5646" max="5646" width="9.28515625" style="877" bestFit="1" customWidth="1"/>
    <col min="5647" max="5647" width="13.28515625" style="877" customWidth="1"/>
    <col min="5648" max="5888" width="9.140625" style="877"/>
    <col min="5889" max="5889" width="26.85546875" style="877" customWidth="1"/>
    <col min="5890" max="5890" width="7.42578125" style="877" customWidth="1"/>
    <col min="5891" max="5891" width="4.85546875" style="877" customWidth="1"/>
    <col min="5892" max="5892" width="7" style="877" bestFit="1" customWidth="1"/>
    <col min="5893" max="5893" width="7.85546875" style="877" customWidth="1"/>
    <col min="5894" max="5894" width="5.5703125" style="877" customWidth="1"/>
    <col min="5895" max="5895" width="6.42578125" style="877" bestFit="1" customWidth="1"/>
    <col min="5896" max="5896" width="6.7109375" style="877" customWidth="1"/>
    <col min="5897" max="5897" width="6.85546875" style="877" customWidth="1"/>
    <col min="5898" max="5898" width="7" style="877" bestFit="1" customWidth="1"/>
    <col min="5899" max="5899" width="10.28515625" style="877" bestFit="1" customWidth="1"/>
    <col min="5900" max="5900" width="9.28515625" style="877" bestFit="1" customWidth="1"/>
    <col min="5901" max="5901" width="9.140625" style="877"/>
    <col min="5902" max="5902" width="9.28515625" style="877" bestFit="1" customWidth="1"/>
    <col min="5903" max="5903" width="13.28515625" style="877" customWidth="1"/>
    <col min="5904" max="6144" width="9.140625" style="877"/>
    <col min="6145" max="6145" width="26.85546875" style="877" customWidth="1"/>
    <col min="6146" max="6146" width="7.42578125" style="877" customWidth="1"/>
    <col min="6147" max="6147" width="4.85546875" style="877" customWidth="1"/>
    <col min="6148" max="6148" width="7" style="877" bestFit="1" customWidth="1"/>
    <col min="6149" max="6149" width="7.85546875" style="877" customWidth="1"/>
    <col min="6150" max="6150" width="5.5703125" style="877" customWidth="1"/>
    <col min="6151" max="6151" width="6.42578125" style="877" bestFit="1" customWidth="1"/>
    <col min="6152" max="6152" width="6.7109375" style="877" customWidth="1"/>
    <col min="6153" max="6153" width="6.85546875" style="877" customWidth="1"/>
    <col min="6154" max="6154" width="7" style="877" bestFit="1" customWidth="1"/>
    <col min="6155" max="6155" width="10.28515625" style="877" bestFit="1" customWidth="1"/>
    <col min="6156" max="6156" width="9.28515625" style="877" bestFit="1" customWidth="1"/>
    <col min="6157" max="6157" width="9.140625" style="877"/>
    <col min="6158" max="6158" width="9.28515625" style="877" bestFit="1" customWidth="1"/>
    <col min="6159" max="6159" width="13.28515625" style="877" customWidth="1"/>
    <col min="6160" max="6400" width="9.140625" style="877"/>
    <col min="6401" max="6401" width="26.85546875" style="877" customWidth="1"/>
    <col min="6402" max="6402" width="7.42578125" style="877" customWidth="1"/>
    <col min="6403" max="6403" width="4.85546875" style="877" customWidth="1"/>
    <col min="6404" max="6404" width="7" style="877" bestFit="1" customWidth="1"/>
    <col min="6405" max="6405" width="7.85546875" style="877" customWidth="1"/>
    <col min="6406" max="6406" width="5.5703125" style="877" customWidth="1"/>
    <col min="6407" max="6407" width="6.42578125" style="877" bestFit="1" customWidth="1"/>
    <col min="6408" max="6408" width="6.7109375" style="877" customWidth="1"/>
    <col min="6409" max="6409" width="6.85546875" style="877" customWidth="1"/>
    <col min="6410" max="6410" width="7" style="877" bestFit="1" customWidth="1"/>
    <col min="6411" max="6411" width="10.28515625" style="877" bestFit="1" customWidth="1"/>
    <col min="6412" max="6412" width="9.28515625" style="877" bestFit="1" customWidth="1"/>
    <col min="6413" max="6413" width="9.140625" style="877"/>
    <col min="6414" max="6414" width="9.28515625" style="877" bestFit="1" customWidth="1"/>
    <col min="6415" max="6415" width="13.28515625" style="877" customWidth="1"/>
    <col min="6416" max="6656" width="9.140625" style="877"/>
    <col min="6657" max="6657" width="26.85546875" style="877" customWidth="1"/>
    <col min="6658" max="6658" width="7.42578125" style="877" customWidth="1"/>
    <col min="6659" max="6659" width="4.85546875" style="877" customWidth="1"/>
    <col min="6660" max="6660" width="7" style="877" bestFit="1" customWidth="1"/>
    <col min="6661" max="6661" width="7.85546875" style="877" customWidth="1"/>
    <col min="6662" max="6662" width="5.5703125" style="877" customWidth="1"/>
    <col min="6663" max="6663" width="6.42578125" style="877" bestFit="1" customWidth="1"/>
    <col min="6664" max="6664" width="6.7109375" style="877" customWidth="1"/>
    <col min="6665" max="6665" width="6.85546875" style="877" customWidth="1"/>
    <col min="6666" max="6666" width="7" style="877" bestFit="1" customWidth="1"/>
    <col min="6667" max="6667" width="10.28515625" style="877" bestFit="1" customWidth="1"/>
    <col min="6668" max="6668" width="9.28515625" style="877" bestFit="1" customWidth="1"/>
    <col min="6669" max="6669" width="9.140625" style="877"/>
    <col min="6670" max="6670" width="9.28515625" style="877" bestFit="1" customWidth="1"/>
    <col min="6671" max="6671" width="13.28515625" style="877" customWidth="1"/>
    <col min="6672" max="6912" width="9.140625" style="877"/>
    <col min="6913" max="6913" width="26.85546875" style="877" customWidth="1"/>
    <col min="6914" max="6914" width="7.42578125" style="877" customWidth="1"/>
    <col min="6915" max="6915" width="4.85546875" style="877" customWidth="1"/>
    <col min="6916" max="6916" width="7" style="877" bestFit="1" customWidth="1"/>
    <col min="6917" max="6917" width="7.85546875" style="877" customWidth="1"/>
    <col min="6918" max="6918" width="5.5703125" style="877" customWidth="1"/>
    <col min="6919" max="6919" width="6.42578125" style="877" bestFit="1" customWidth="1"/>
    <col min="6920" max="6920" width="6.7109375" style="877" customWidth="1"/>
    <col min="6921" max="6921" width="6.85546875" style="877" customWidth="1"/>
    <col min="6922" max="6922" width="7" style="877" bestFit="1" customWidth="1"/>
    <col min="6923" max="6923" width="10.28515625" style="877" bestFit="1" customWidth="1"/>
    <col min="6924" max="6924" width="9.28515625" style="877" bestFit="1" customWidth="1"/>
    <col min="6925" max="6925" width="9.140625" style="877"/>
    <col min="6926" max="6926" width="9.28515625" style="877" bestFit="1" customWidth="1"/>
    <col min="6927" max="6927" width="13.28515625" style="877" customWidth="1"/>
    <col min="6928" max="7168" width="9.140625" style="877"/>
    <col min="7169" max="7169" width="26.85546875" style="877" customWidth="1"/>
    <col min="7170" max="7170" width="7.42578125" style="877" customWidth="1"/>
    <col min="7171" max="7171" width="4.85546875" style="877" customWidth="1"/>
    <col min="7172" max="7172" width="7" style="877" bestFit="1" customWidth="1"/>
    <col min="7173" max="7173" width="7.85546875" style="877" customWidth="1"/>
    <col min="7174" max="7174" width="5.5703125" style="877" customWidth="1"/>
    <col min="7175" max="7175" width="6.42578125" style="877" bestFit="1" customWidth="1"/>
    <col min="7176" max="7176" width="6.7109375" style="877" customWidth="1"/>
    <col min="7177" max="7177" width="6.85546875" style="877" customWidth="1"/>
    <col min="7178" max="7178" width="7" style="877" bestFit="1" customWidth="1"/>
    <col min="7179" max="7179" width="10.28515625" style="877" bestFit="1" customWidth="1"/>
    <col min="7180" max="7180" width="9.28515625" style="877" bestFit="1" customWidth="1"/>
    <col min="7181" max="7181" width="9.140625" style="877"/>
    <col min="7182" max="7182" width="9.28515625" style="877" bestFit="1" customWidth="1"/>
    <col min="7183" max="7183" width="13.28515625" style="877" customWidth="1"/>
    <col min="7184" max="7424" width="9.140625" style="877"/>
    <col min="7425" max="7425" width="26.85546875" style="877" customWidth="1"/>
    <col min="7426" max="7426" width="7.42578125" style="877" customWidth="1"/>
    <col min="7427" max="7427" width="4.85546875" style="877" customWidth="1"/>
    <col min="7428" max="7428" width="7" style="877" bestFit="1" customWidth="1"/>
    <col min="7429" max="7429" width="7.85546875" style="877" customWidth="1"/>
    <col min="7430" max="7430" width="5.5703125" style="877" customWidth="1"/>
    <col min="7431" max="7431" width="6.42578125" style="877" bestFit="1" customWidth="1"/>
    <col min="7432" max="7432" width="6.7109375" style="877" customWidth="1"/>
    <col min="7433" max="7433" width="6.85546875" style="877" customWidth="1"/>
    <col min="7434" max="7434" width="7" style="877" bestFit="1" customWidth="1"/>
    <col min="7435" max="7435" width="10.28515625" style="877" bestFit="1" customWidth="1"/>
    <col min="7436" max="7436" width="9.28515625" style="877" bestFit="1" customWidth="1"/>
    <col min="7437" max="7437" width="9.140625" style="877"/>
    <col min="7438" max="7438" width="9.28515625" style="877" bestFit="1" customWidth="1"/>
    <col min="7439" max="7439" width="13.28515625" style="877" customWidth="1"/>
    <col min="7440" max="7680" width="9.140625" style="877"/>
    <col min="7681" max="7681" width="26.85546875" style="877" customWidth="1"/>
    <col min="7682" max="7682" width="7.42578125" style="877" customWidth="1"/>
    <col min="7683" max="7683" width="4.85546875" style="877" customWidth="1"/>
    <col min="7684" max="7684" width="7" style="877" bestFit="1" customWidth="1"/>
    <col min="7685" max="7685" width="7.85546875" style="877" customWidth="1"/>
    <col min="7686" max="7686" width="5.5703125" style="877" customWidth="1"/>
    <col min="7687" max="7687" width="6.42578125" style="877" bestFit="1" customWidth="1"/>
    <col min="7688" max="7688" width="6.7109375" style="877" customWidth="1"/>
    <col min="7689" max="7689" width="6.85546875" style="877" customWidth="1"/>
    <col min="7690" max="7690" width="7" style="877" bestFit="1" customWidth="1"/>
    <col min="7691" max="7691" width="10.28515625" style="877" bestFit="1" customWidth="1"/>
    <col min="7692" max="7692" width="9.28515625" style="877" bestFit="1" customWidth="1"/>
    <col min="7693" max="7693" width="9.140625" style="877"/>
    <col min="7694" max="7694" width="9.28515625" style="877" bestFit="1" customWidth="1"/>
    <col min="7695" max="7695" width="13.28515625" style="877" customWidth="1"/>
    <col min="7696" max="7936" width="9.140625" style="877"/>
    <col min="7937" max="7937" width="26.85546875" style="877" customWidth="1"/>
    <col min="7938" max="7938" width="7.42578125" style="877" customWidth="1"/>
    <col min="7939" max="7939" width="4.85546875" style="877" customWidth="1"/>
    <col min="7940" max="7940" width="7" style="877" bestFit="1" customWidth="1"/>
    <col min="7941" max="7941" width="7.85546875" style="877" customWidth="1"/>
    <col min="7942" max="7942" width="5.5703125" style="877" customWidth="1"/>
    <col min="7943" max="7943" width="6.42578125" style="877" bestFit="1" customWidth="1"/>
    <col min="7944" max="7944" width="6.7109375" style="877" customWidth="1"/>
    <col min="7945" max="7945" width="6.85546875" style="877" customWidth="1"/>
    <col min="7946" max="7946" width="7" style="877" bestFit="1" customWidth="1"/>
    <col min="7947" max="7947" width="10.28515625" style="877" bestFit="1" customWidth="1"/>
    <col min="7948" max="7948" width="9.28515625" style="877" bestFit="1" customWidth="1"/>
    <col min="7949" max="7949" width="9.140625" style="877"/>
    <col min="7950" max="7950" width="9.28515625" style="877" bestFit="1" customWidth="1"/>
    <col min="7951" max="7951" width="13.28515625" style="877" customWidth="1"/>
    <col min="7952" max="8192" width="9.140625" style="877"/>
    <col min="8193" max="8193" width="26.85546875" style="877" customWidth="1"/>
    <col min="8194" max="8194" width="7.42578125" style="877" customWidth="1"/>
    <col min="8195" max="8195" width="4.85546875" style="877" customWidth="1"/>
    <col min="8196" max="8196" width="7" style="877" bestFit="1" customWidth="1"/>
    <col min="8197" max="8197" width="7.85546875" style="877" customWidth="1"/>
    <col min="8198" max="8198" width="5.5703125" style="877" customWidth="1"/>
    <col min="8199" max="8199" width="6.42578125" style="877" bestFit="1" customWidth="1"/>
    <col min="8200" max="8200" width="6.7109375" style="877" customWidth="1"/>
    <col min="8201" max="8201" width="6.85546875" style="877" customWidth="1"/>
    <col min="8202" max="8202" width="7" style="877" bestFit="1" customWidth="1"/>
    <col min="8203" max="8203" width="10.28515625" style="877" bestFit="1" customWidth="1"/>
    <col min="8204" max="8204" width="9.28515625" style="877" bestFit="1" customWidth="1"/>
    <col min="8205" max="8205" width="9.140625" style="877"/>
    <col min="8206" max="8206" width="9.28515625" style="877" bestFit="1" customWidth="1"/>
    <col min="8207" max="8207" width="13.28515625" style="877" customWidth="1"/>
    <col min="8208" max="8448" width="9.140625" style="877"/>
    <col min="8449" max="8449" width="26.85546875" style="877" customWidth="1"/>
    <col min="8450" max="8450" width="7.42578125" style="877" customWidth="1"/>
    <col min="8451" max="8451" width="4.85546875" style="877" customWidth="1"/>
    <col min="8452" max="8452" width="7" style="877" bestFit="1" customWidth="1"/>
    <col min="8453" max="8453" width="7.85546875" style="877" customWidth="1"/>
    <col min="8454" max="8454" width="5.5703125" style="877" customWidth="1"/>
    <col min="8455" max="8455" width="6.42578125" style="877" bestFit="1" customWidth="1"/>
    <col min="8456" max="8456" width="6.7109375" style="877" customWidth="1"/>
    <col min="8457" max="8457" width="6.85546875" style="877" customWidth="1"/>
    <col min="8458" max="8458" width="7" style="877" bestFit="1" customWidth="1"/>
    <col min="8459" max="8459" width="10.28515625" style="877" bestFit="1" customWidth="1"/>
    <col min="8460" max="8460" width="9.28515625" style="877" bestFit="1" customWidth="1"/>
    <col min="8461" max="8461" width="9.140625" style="877"/>
    <col min="8462" max="8462" width="9.28515625" style="877" bestFit="1" customWidth="1"/>
    <col min="8463" max="8463" width="13.28515625" style="877" customWidth="1"/>
    <col min="8464" max="8704" width="9.140625" style="877"/>
    <col min="8705" max="8705" width="26.85546875" style="877" customWidth="1"/>
    <col min="8706" max="8706" width="7.42578125" style="877" customWidth="1"/>
    <col min="8707" max="8707" width="4.85546875" style="877" customWidth="1"/>
    <col min="8708" max="8708" width="7" style="877" bestFit="1" customWidth="1"/>
    <col min="8709" max="8709" width="7.85546875" style="877" customWidth="1"/>
    <col min="8710" max="8710" width="5.5703125" style="877" customWidth="1"/>
    <col min="8711" max="8711" width="6.42578125" style="877" bestFit="1" customWidth="1"/>
    <col min="8712" max="8712" width="6.7109375" style="877" customWidth="1"/>
    <col min="8713" max="8713" width="6.85546875" style="877" customWidth="1"/>
    <col min="8714" max="8714" width="7" style="877" bestFit="1" customWidth="1"/>
    <col min="8715" max="8715" width="10.28515625" style="877" bestFit="1" customWidth="1"/>
    <col min="8716" max="8716" width="9.28515625" style="877" bestFit="1" customWidth="1"/>
    <col min="8717" max="8717" width="9.140625" style="877"/>
    <col min="8718" max="8718" width="9.28515625" style="877" bestFit="1" customWidth="1"/>
    <col min="8719" max="8719" width="13.28515625" style="877" customWidth="1"/>
    <col min="8720" max="8960" width="9.140625" style="877"/>
    <col min="8961" max="8961" width="26.85546875" style="877" customWidth="1"/>
    <col min="8962" max="8962" width="7.42578125" style="877" customWidth="1"/>
    <col min="8963" max="8963" width="4.85546875" style="877" customWidth="1"/>
    <col min="8964" max="8964" width="7" style="877" bestFit="1" customWidth="1"/>
    <col min="8965" max="8965" width="7.85546875" style="877" customWidth="1"/>
    <col min="8966" max="8966" width="5.5703125" style="877" customWidth="1"/>
    <col min="8967" max="8967" width="6.42578125" style="877" bestFit="1" customWidth="1"/>
    <col min="8968" max="8968" width="6.7109375" style="877" customWidth="1"/>
    <col min="8969" max="8969" width="6.85546875" style="877" customWidth="1"/>
    <col min="8970" max="8970" width="7" style="877" bestFit="1" customWidth="1"/>
    <col min="8971" max="8971" width="10.28515625" style="877" bestFit="1" customWidth="1"/>
    <col min="8972" max="8972" width="9.28515625" style="877" bestFit="1" customWidth="1"/>
    <col min="8973" max="8973" width="9.140625" style="877"/>
    <col min="8974" max="8974" width="9.28515625" style="877" bestFit="1" customWidth="1"/>
    <col min="8975" max="8975" width="13.28515625" style="877" customWidth="1"/>
    <col min="8976" max="9216" width="9.140625" style="877"/>
    <col min="9217" max="9217" width="26.85546875" style="877" customWidth="1"/>
    <col min="9218" max="9218" width="7.42578125" style="877" customWidth="1"/>
    <col min="9219" max="9219" width="4.85546875" style="877" customWidth="1"/>
    <col min="9220" max="9220" width="7" style="877" bestFit="1" customWidth="1"/>
    <col min="9221" max="9221" width="7.85546875" style="877" customWidth="1"/>
    <col min="9222" max="9222" width="5.5703125" style="877" customWidth="1"/>
    <col min="9223" max="9223" width="6.42578125" style="877" bestFit="1" customWidth="1"/>
    <col min="9224" max="9224" width="6.7109375" style="877" customWidth="1"/>
    <col min="9225" max="9225" width="6.85546875" style="877" customWidth="1"/>
    <col min="9226" max="9226" width="7" style="877" bestFit="1" customWidth="1"/>
    <col min="9227" max="9227" width="10.28515625" style="877" bestFit="1" customWidth="1"/>
    <col min="9228" max="9228" width="9.28515625" style="877" bestFit="1" customWidth="1"/>
    <col min="9229" max="9229" width="9.140625" style="877"/>
    <col min="9230" max="9230" width="9.28515625" style="877" bestFit="1" customWidth="1"/>
    <col min="9231" max="9231" width="13.28515625" style="877" customWidth="1"/>
    <col min="9232" max="9472" width="9.140625" style="877"/>
    <col min="9473" max="9473" width="26.85546875" style="877" customWidth="1"/>
    <col min="9474" max="9474" width="7.42578125" style="877" customWidth="1"/>
    <col min="9475" max="9475" width="4.85546875" style="877" customWidth="1"/>
    <col min="9476" max="9476" width="7" style="877" bestFit="1" customWidth="1"/>
    <col min="9477" max="9477" width="7.85546875" style="877" customWidth="1"/>
    <col min="9478" max="9478" width="5.5703125" style="877" customWidth="1"/>
    <col min="9479" max="9479" width="6.42578125" style="877" bestFit="1" customWidth="1"/>
    <col min="9480" max="9480" width="6.7109375" style="877" customWidth="1"/>
    <col min="9481" max="9481" width="6.85546875" style="877" customWidth="1"/>
    <col min="9482" max="9482" width="7" style="877" bestFit="1" customWidth="1"/>
    <col min="9483" max="9483" width="10.28515625" style="877" bestFit="1" customWidth="1"/>
    <col min="9484" max="9484" width="9.28515625" style="877" bestFit="1" customWidth="1"/>
    <col min="9485" max="9485" width="9.140625" style="877"/>
    <col min="9486" max="9486" width="9.28515625" style="877" bestFit="1" customWidth="1"/>
    <col min="9487" max="9487" width="13.28515625" style="877" customWidth="1"/>
    <col min="9488" max="9728" width="9.140625" style="877"/>
    <col min="9729" max="9729" width="26.85546875" style="877" customWidth="1"/>
    <col min="9730" max="9730" width="7.42578125" style="877" customWidth="1"/>
    <col min="9731" max="9731" width="4.85546875" style="877" customWidth="1"/>
    <col min="9732" max="9732" width="7" style="877" bestFit="1" customWidth="1"/>
    <col min="9733" max="9733" width="7.85546875" style="877" customWidth="1"/>
    <col min="9734" max="9734" width="5.5703125" style="877" customWidth="1"/>
    <col min="9735" max="9735" width="6.42578125" style="877" bestFit="1" customWidth="1"/>
    <col min="9736" max="9736" width="6.7109375" style="877" customWidth="1"/>
    <col min="9737" max="9737" width="6.85546875" style="877" customWidth="1"/>
    <col min="9738" max="9738" width="7" style="877" bestFit="1" customWidth="1"/>
    <col min="9739" max="9739" width="10.28515625" style="877" bestFit="1" customWidth="1"/>
    <col min="9740" max="9740" width="9.28515625" style="877" bestFit="1" customWidth="1"/>
    <col min="9741" max="9741" width="9.140625" style="877"/>
    <col min="9742" max="9742" width="9.28515625" style="877" bestFit="1" customWidth="1"/>
    <col min="9743" max="9743" width="13.28515625" style="877" customWidth="1"/>
    <col min="9744" max="9984" width="9.140625" style="877"/>
    <col min="9985" max="9985" width="26.85546875" style="877" customWidth="1"/>
    <col min="9986" max="9986" width="7.42578125" style="877" customWidth="1"/>
    <col min="9987" max="9987" width="4.85546875" style="877" customWidth="1"/>
    <col min="9988" max="9988" width="7" style="877" bestFit="1" customWidth="1"/>
    <col min="9989" max="9989" width="7.85546875" style="877" customWidth="1"/>
    <col min="9990" max="9990" width="5.5703125" style="877" customWidth="1"/>
    <col min="9991" max="9991" width="6.42578125" style="877" bestFit="1" customWidth="1"/>
    <col min="9992" max="9992" width="6.7109375" style="877" customWidth="1"/>
    <col min="9993" max="9993" width="6.85546875" style="877" customWidth="1"/>
    <col min="9994" max="9994" width="7" style="877" bestFit="1" customWidth="1"/>
    <col min="9995" max="9995" width="10.28515625" style="877" bestFit="1" customWidth="1"/>
    <col min="9996" max="9996" width="9.28515625" style="877" bestFit="1" customWidth="1"/>
    <col min="9997" max="9997" width="9.140625" style="877"/>
    <col min="9998" max="9998" width="9.28515625" style="877" bestFit="1" customWidth="1"/>
    <col min="9999" max="9999" width="13.28515625" style="877" customWidth="1"/>
    <col min="10000" max="10240" width="9.140625" style="877"/>
    <col min="10241" max="10241" width="26.85546875" style="877" customWidth="1"/>
    <col min="10242" max="10242" width="7.42578125" style="877" customWidth="1"/>
    <col min="10243" max="10243" width="4.85546875" style="877" customWidth="1"/>
    <col min="10244" max="10244" width="7" style="877" bestFit="1" customWidth="1"/>
    <col min="10245" max="10245" width="7.85546875" style="877" customWidth="1"/>
    <col min="10246" max="10246" width="5.5703125" style="877" customWidth="1"/>
    <col min="10247" max="10247" width="6.42578125" style="877" bestFit="1" customWidth="1"/>
    <col min="10248" max="10248" width="6.7109375" style="877" customWidth="1"/>
    <col min="10249" max="10249" width="6.85546875" style="877" customWidth="1"/>
    <col min="10250" max="10250" width="7" style="877" bestFit="1" customWidth="1"/>
    <col min="10251" max="10251" width="10.28515625" style="877" bestFit="1" customWidth="1"/>
    <col min="10252" max="10252" width="9.28515625" style="877" bestFit="1" customWidth="1"/>
    <col min="10253" max="10253" width="9.140625" style="877"/>
    <col min="10254" max="10254" width="9.28515625" style="877" bestFit="1" customWidth="1"/>
    <col min="10255" max="10255" width="13.28515625" style="877" customWidth="1"/>
    <col min="10256" max="10496" width="9.140625" style="877"/>
    <col min="10497" max="10497" width="26.85546875" style="877" customWidth="1"/>
    <col min="10498" max="10498" width="7.42578125" style="877" customWidth="1"/>
    <col min="10499" max="10499" width="4.85546875" style="877" customWidth="1"/>
    <col min="10500" max="10500" width="7" style="877" bestFit="1" customWidth="1"/>
    <col min="10501" max="10501" width="7.85546875" style="877" customWidth="1"/>
    <col min="10502" max="10502" width="5.5703125" style="877" customWidth="1"/>
    <col min="10503" max="10503" width="6.42578125" style="877" bestFit="1" customWidth="1"/>
    <col min="10504" max="10504" width="6.7109375" style="877" customWidth="1"/>
    <col min="10505" max="10505" width="6.85546875" style="877" customWidth="1"/>
    <col min="10506" max="10506" width="7" style="877" bestFit="1" customWidth="1"/>
    <col min="10507" max="10507" width="10.28515625" style="877" bestFit="1" customWidth="1"/>
    <col min="10508" max="10508" width="9.28515625" style="877" bestFit="1" customWidth="1"/>
    <col min="10509" max="10509" width="9.140625" style="877"/>
    <col min="10510" max="10510" width="9.28515625" style="877" bestFit="1" customWidth="1"/>
    <col min="10511" max="10511" width="13.28515625" style="877" customWidth="1"/>
    <col min="10512" max="10752" width="9.140625" style="877"/>
    <col min="10753" max="10753" width="26.85546875" style="877" customWidth="1"/>
    <col min="10754" max="10754" width="7.42578125" style="877" customWidth="1"/>
    <col min="10755" max="10755" width="4.85546875" style="877" customWidth="1"/>
    <col min="10756" max="10756" width="7" style="877" bestFit="1" customWidth="1"/>
    <col min="10757" max="10757" width="7.85546875" style="877" customWidth="1"/>
    <col min="10758" max="10758" width="5.5703125" style="877" customWidth="1"/>
    <col min="10759" max="10759" width="6.42578125" style="877" bestFit="1" customWidth="1"/>
    <col min="10760" max="10760" width="6.7109375" style="877" customWidth="1"/>
    <col min="10761" max="10761" width="6.85546875" style="877" customWidth="1"/>
    <col min="10762" max="10762" width="7" style="877" bestFit="1" customWidth="1"/>
    <col min="10763" max="10763" width="10.28515625" style="877" bestFit="1" customWidth="1"/>
    <col min="10764" max="10764" width="9.28515625" style="877" bestFit="1" customWidth="1"/>
    <col min="10765" max="10765" width="9.140625" style="877"/>
    <col min="10766" max="10766" width="9.28515625" style="877" bestFit="1" customWidth="1"/>
    <col min="10767" max="10767" width="13.28515625" style="877" customWidth="1"/>
    <col min="10768" max="11008" width="9.140625" style="877"/>
    <col min="11009" max="11009" width="26.85546875" style="877" customWidth="1"/>
    <col min="11010" max="11010" width="7.42578125" style="877" customWidth="1"/>
    <col min="11011" max="11011" width="4.85546875" style="877" customWidth="1"/>
    <col min="11012" max="11012" width="7" style="877" bestFit="1" customWidth="1"/>
    <col min="11013" max="11013" width="7.85546875" style="877" customWidth="1"/>
    <col min="11014" max="11014" width="5.5703125" style="877" customWidth="1"/>
    <col min="11015" max="11015" width="6.42578125" style="877" bestFit="1" customWidth="1"/>
    <col min="11016" max="11016" width="6.7109375" style="877" customWidth="1"/>
    <col min="11017" max="11017" width="6.85546875" style="877" customWidth="1"/>
    <col min="11018" max="11018" width="7" style="877" bestFit="1" customWidth="1"/>
    <col min="11019" max="11019" width="10.28515625" style="877" bestFit="1" customWidth="1"/>
    <col min="11020" max="11020" width="9.28515625" style="877" bestFit="1" customWidth="1"/>
    <col min="11021" max="11021" width="9.140625" style="877"/>
    <col min="11022" max="11022" width="9.28515625" style="877" bestFit="1" customWidth="1"/>
    <col min="11023" max="11023" width="13.28515625" style="877" customWidth="1"/>
    <col min="11024" max="11264" width="9.140625" style="877"/>
    <col min="11265" max="11265" width="26.85546875" style="877" customWidth="1"/>
    <col min="11266" max="11266" width="7.42578125" style="877" customWidth="1"/>
    <col min="11267" max="11267" width="4.85546875" style="877" customWidth="1"/>
    <col min="11268" max="11268" width="7" style="877" bestFit="1" customWidth="1"/>
    <col min="11269" max="11269" width="7.85546875" style="877" customWidth="1"/>
    <col min="11270" max="11270" width="5.5703125" style="877" customWidth="1"/>
    <col min="11271" max="11271" width="6.42578125" style="877" bestFit="1" customWidth="1"/>
    <col min="11272" max="11272" width="6.7109375" style="877" customWidth="1"/>
    <col min="11273" max="11273" width="6.85546875" style="877" customWidth="1"/>
    <col min="11274" max="11274" width="7" style="877" bestFit="1" customWidth="1"/>
    <col min="11275" max="11275" width="10.28515625" style="877" bestFit="1" customWidth="1"/>
    <col min="11276" max="11276" width="9.28515625" style="877" bestFit="1" customWidth="1"/>
    <col min="11277" max="11277" width="9.140625" style="877"/>
    <col min="11278" max="11278" width="9.28515625" style="877" bestFit="1" customWidth="1"/>
    <col min="11279" max="11279" width="13.28515625" style="877" customWidth="1"/>
    <col min="11280" max="11520" width="9.140625" style="877"/>
    <col min="11521" max="11521" width="26.85546875" style="877" customWidth="1"/>
    <col min="11522" max="11522" width="7.42578125" style="877" customWidth="1"/>
    <col min="11523" max="11523" width="4.85546875" style="877" customWidth="1"/>
    <col min="11524" max="11524" width="7" style="877" bestFit="1" customWidth="1"/>
    <col min="11525" max="11525" width="7.85546875" style="877" customWidth="1"/>
    <col min="11526" max="11526" width="5.5703125" style="877" customWidth="1"/>
    <col min="11527" max="11527" width="6.42578125" style="877" bestFit="1" customWidth="1"/>
    <col min="11528" max="11528" width="6.7109375" style="877" customWidth="1"/>
    <col min="11529" max="11529" width="6.85546875" style="877" customWidth="1"/>
    <col min="11530" max="11530" width="7" style="877" bestFit="1" customWidth="1"/>
    <col min="11531" max="11531" width="10.28515625" style="877" bestFit="1" customWidth="1"/>
    <col min="11532" max="11532" width="9.28515625" style="877" bestFit="1" customWidth="1"/>
    <col min="11533" max="11533" width="9.140625" style="877"/>
    <col min="11534" max="11534" width="9.28515625" style="877" bestFit="1" customWidth="1"/>
    <col min="11535" max="11535" width="13.28515625" style="877" customWidth="1"/>
    <col min="11536" max="11776" width="9.140625" style="877"/>
    <col min="11777" max="11777" width="26.85546875" style="877" customWidth="1"/>
    <col min="11778" max="11778" width="7.42578125" style="877" customWidth="1"/>
    <col min="11779" max="11779" width="4.85546875" style="877" customWidth="1"/>
    <col min="11780" max="11780" width="7" style="877" bestFit="1" customWidth="1"/>
    <col min="11781" max="11781" width="7.85546875" style="877" customWidth="1"/>
    <col min="11782" max="11782" width="5.5703125" style="877" customWidth="1"/>
    <col min="11783" max="11783" width="6.42578125" style="877" bestFit="1" customWidth="1"/>
    <col min="11784" max="11784" width="6.7109375" style="877" customWidth="1"/>
    <col min="11785" max="11785" width="6.85546875" style="877" customWidth="1"/>
    <col min="11786" max="11786" width="7" style="877" bestFit="1" customWidth="1"/>
    <col min="11787" max="11787" width="10.28515625" style="877" bestFit="1" customWidth="1"/>
    <col min="11788" max="11788" width="9.28515625" style="877" bestFit="1" customWidth="1"/>
    <col min="11789" max="11789" width="9.140625" style="877"/>
    <col min="11790" max="11790" width="9.28515625" style="877" bestFit="1" customWidth="1"/>
    <col min="11791" max="11791" width="13.28515625" style="877" customWidth="1"/>
    <col min="11792" max="12032" width="9.140625" style="877"/>
    <col min="12033" max="12033" width="26.85546875" style="877" customWidth="1"/>
    <col min="12034" max="12034" width="7.42578125" style="877" customWidth="1"/>
    <col min="12035" max="12035" width="4.85546875" style="877" customWidth="1"/>
    <col min="12036" max="12036" width="7" style="877" bestFit="1" customWidth="1"/>
    <col min="12037" max="12037" width="7.85546875" style="877" customWidth="1"/>
    <col min="12038" max="12038" width="5.5703125" style="877" customWidth="1"/>
    <col min="12039" max="12039" width="6.42578125" style="877" bestFit="1" customWidth="1"/>
    <col min="12040" max="12040" width="6.7109375" style="877" customWidth="1"/>
    <col min="12041" max="12041" width="6.85546875" style="877" customWidth="1"/>
    <col min="12042" max="12042" width="7" style="877" bestFit="1" customWidth="1"/>
    <col min="12043" max="12043" width="10.28515625" style="877" bestFit="1" customWidth="1"/>
    <col min="12044" max="12044" width="9.28515625" style="877" bestFit="1" customWidth="1"/>
    <col min="12045" max="12045" width="9.140625" style="877"/>
    <col min="12046" max="12046" width="9.28515625" style="877" bestFit="1" customWidth="1"/>
    <col min="12047" max="12047" width="13.28515625" style="877" customWidth="1"/>
    <col min="12048" max="12288" width="9.140625" style="877"/>
    <col min="12289" max="12289" width="26.85546875" style="877" customWidth="1"/>
    <col min="12290" max="12290" width="7.42578125" style="877" customWidth="1"/>
    <col min="12291" max="12291" width="4.85546875" style="877" customWidth="1"/>
    <col min="12292" max="12292" width="7" style="877" bestFit="1" customWidth="1"/>
    <col min="12293" max="12293" width="7.85546875" style="877" customWidth="1"/>
    <col min="12294" max="12294" width="5.5703125" style="877" customWidth="1"/>
    <col min="12295" max="12295" width="6.42578125" style="877" bestFit="1" customWidth="1"/>
    <col min="12296" max="12296" width="6.7109375" style="877" customWidth="1"/>
    <col min="12297" max="12297" width="6.85546875" style="877" customWidth="1"/>
    <col min="12298" max="12298" width="7" style="877" bestFit="1" customWidth="1"/>
    <col min="12299" max="12299" width="10.28515625" style="877" bestFit="1" customWidth="1"/>
    <col min="12300" max="12300" width="9.28515625" style="877" bestFit="1" customWidth="1"/>
    <col min="12301" max="12301" width="9.140625" style="877"/>
    <col min="12302" max="12302" width="9.28515625" style="877" bestFit="1" customWidth="1"/>
    <col min="12303" max="12303" width="13.28515625" style="877" customWidth="1"/>
    <col min="12304" max="12544" width="9.140625" style="877"/>
    <col min="12545" max="12545" width="26.85546875" style="877" customWidth="1"/>
    <col min="12546" max="12546" width="7.42578125" style="877" customWidth="1"/>
    <col min="12547" max="12547" width="4.85546875" style="877" customWidth="1"/>
    <col min="12548" max="12548" width="7" style="877" bestFit="1" customWidth="1"/>
    <col min="12549" max="12549" width="7.85546875" style="877" customWidth="1"/>
    <col min="12550" max="12550" width="5.5703125" style="877" customWidth="1"/>
    <col min="12551" max="12551" width="6.42578125" style="877" bestFit="1" customWidth="1"/>
    <col min="12552" max="12552" width="6.7109375" style="877" customWidth="1"/>
    <col min="12553" max="12553" width="6.85546875" style="877" customWidth="1"/>
    <col min="12554" max="12554" width="7" style="877" bestFit="1" customWidth="1"/>
    <col min="12555" max="12555" width="10.28515625" style="877" bestFit="1" customWidth="1"/>
    <col min="12556" max="12556" width="9.28515625" style="877" bestFit="1" customWidth="1"/>
    <col min="12557" max="12557" width="9.140625" style="877"/>
    <col min="12558" max="12558" width="9.28515625" style="877" bestFit="1" customWidth="1"/>
    <col min="12559" max="12559" width="13.28515625" style="877" customWidth="1"/>
    <col min="12560" max="12800" width="9.140625" style="877"/>
    <col min="12801" max="12801" width="26.85546875" style="877" customWidth="1"/>
    <col min="12802" max="12802" width="7.42578125" style="877" customWidth="1"/>
    <col min="12803" max="12803" width="4.85546875" style="877" customWidth="1"/>
    <col min="12804" max="12804" width="7" style="877" bestFit="1" customWidth="1"/>
    <col min="12805" max="12805" width="7.85546875" style="877" customWidth="1"/>
    <col min="12806" max="12806" width="5.5703125" style="877" customWidth="1"/>
    <col min="12807" max="12807" width="6.42578125" style="877" bestFit="1" customWidth="1"/>
    <col min="12808" max="12808" width="6.7109375" style="877" customWidth="1"/>
    <col min="12809" max="12809" width="6.85546875" style="877" customWidth="1"/>
    <col min="12810" max="12810" width="7" style="877" bestFit="1" customWidth="1"/>
    <col min="12811" max="12811" width="10.28515625" style="877" bestFit="1" customWidth="1"/>
    <col min="12812" max="12812" width="9.28515625" style="877" bestFit="1" customWidth="1"/>
    <col min="12813" max="12813" width="9.140625" style="877"/>
    <col min="12814" max="12814" width="9.28515625" style="877" bestFit="1" customWidth="1"/>
    <col min="12815" max="12815" width="13.28515625" style="877" customWidth="1"/>
    <col min="12816" max="13056" width="9.140625" style="877"/>
    <col min="13057" max="13057" width="26.85546875" style="877" customWidth="1"/>
    <col min="13058" max="13058" width="7.42578125" style="877" customWidth="1"/>
    <col min="13059" max="13059" width="4.85546875" style="877" customWidth="1"/>
    <col min="13060" max="13060" width="7" style="877" bestFit="1" customWidth="1"/>
    <col min="13061" max="13061" width="7.85546875" style="877" customWidth="1"/>
    <col min="13062" max="13062" width="5.5703125" style="877" customWidth="1"/>
    <col min="13063" max="13063" width="6.42578125" style="877" bestFit="1" customWidth="1"/>
    <col min="13064" max="13064" width="6.7109375" style="877" customWidth="1"/>
    <col min="13065" max="13065" width="6.85546875" style="877" customWidth="1"/>
    <col min="13066" max="13066" width="7" style="877" bestFit="1" customWidth="1"/>
    <col min="13067" max="13067" width="10.28515625" style="877" bestFit="1" customWidth="1"/>
    <col min="13068" max="13068" width="9.28515625" style="877" bestFit="1" customWidth="1"/>
    <col min="13069" max="13069" width="9.140625" style="877"/>
    <col min="13070" max="13070" width="9.28515625" style="877" bestFit="1" customWidth="1"/>
    <col min="13071" max="13071" width="13.28515625" style="877" customWidth="1"/>
    <col min="13072" max="13312" width="9.140625" style="877"/>
    <col min="13313" max="13313" width="26.85546875" style="877" customWidth="1"/>
    <col min="13314" max="13314" width="7.42578125" style="877" customWidth="1"/>
    <col min="13315" max="13315" width="4.85546875" style="877" customWidth="1"/>
    <col min="13316" max="13316" width="7" style="877" bestFit="1" customWidth="1"/>
    <col min="13317" max="13317" width="7.85546875" style="877" customWidth="1"/>
    <col min="13318" max="13318" width="5.5703125" style="877" customWidth="1"/>
    <col min="13319" max="13319" width="6.42578125" style="877" bestFit="1" customWidth="1"/>
    <col min="13320" max="13320" width="6.7109375" style="877" customWidth="1"/>
    <col min="13321" max="13321" width="6.85546875" style="877" customWidth="1"/>
    <col min="13322" max="13322" width="7" style="877" bestFit="1" customWidth="1"/>
    <col min="13323" max="13323" width="10.28515625" style="877" bestFit="1" customWidth="1"/>
    <col min="13324" max="13324" width="9.28515625" style="877" bestFit="1" customWidth="1"/>
    <col min="13325" max="13325" width="9.140625" style="877"/>
    <col min="13326" max="13326" width="9.28515625" style="877" bestFit="1" customWidth="1"/>
    <col min="13327" max="13327" width="13.28515625" style="877" customWidth="1"/>
    <col min="13328" max="13568" width="9.140625" style="877"/>
    <col min="13569" max="13569" width="26.85546875" style="877" customWidth="1"/>
    <col min="13570" max="13570" width="7.42578125" style="877" customWidth="1"/>
    <col min="13571" max="13571" width="4.85546875" style="877" customWidth="1"/>
    <col min="13572" max="13572" width="7" style="877" bestFit="1" customWidth="1"/>
    <col min="13573" max="13573" width="7.85546875" style="877" customWidth="1"/>
    <col min="13574" max="13574" width="5.5703125" style="877" customWidth="1"/>
    <col min="13575" max="13575" width="6.42578125" style="877" bestFit="1" customWidth="1"/>
    <col min="13576" max="13576" width="6.7109375" style="877" customWidth="1"/>
    <col min="13577" max="13577" width="6.85546875" style="877" customWidth="1"/>
    <col min="13578" max="13578" width="7" style="877" bestFit="1" customWidth="1"/>
    <col min="13579" max="13579" width="10.28515625" style="877" bestFit="1" customWidth="1"/>
    <col min="13580" max="13580" width="9.28515625" style="877" bestFit="1" customWidth="1"/>
    <col min="13581" max="13581" width="9.140625" style="877"/>
    <col min="13582" max="13582" width="9.28515625" style="877" bestFit="1" customWidth="1"/>
    <col min="13583" max="13583" width="13.28515625" style="877" customWidth="1"/>
    <col min="13584" max="13824" width="9.140625" style="877"/>
    <col min="13825" max="13825" width="26.85546875" style="877" customWidth="1"/>
    <col min="13826" max="13826" width="7.42578125" style="877" customWidth="1"/>
    <col min="13827" max="13827" width="4.85546875" style="877" customWidth="1"/>
    <col min="13828" max="13828" width="7" style="877" bestFit="1" customWidth="1"/>
    <col min="13829" max="13829" width="7.85546875" style="877" customWidth="1"/>
    <col min="13830" max="13830" width="5.5703125" style="877" customWidth="1"/>
    <col min="13831" max="13831" width="6.42578125" style="877" bestFit="1" customWidth="1"/>
    <col min="13832" max="13832" width="6.7109375" style="877" customWidth="1"/>
    <col min="13833" max="13833" width="6.85546875" style="877" customWidth="1"/>
    <col min="13834" max="13834" width="7" style="877" bestFit="1" customWidth="1"/>
    <col min="13835" max="13835" width="10.28515625" style="877" bestFit="1" customWidth="1"/>
    <col min="13836" max="13836" width="9.28515625" style="877" bestFit="1" customWidth="1"/>
    <col min="13837" max="13837" width="9.140625" style="877"/>
    <col min="13838" max="13838" width="9.28515625" style="877" bestFit="1" customWidth="1"/>
    <col min="13839" max="13839" width="13.28515625" style="877" customWidth="1"/>
    <col min="13840" max="14080" width="9.140625" style="877"/>
    <col min="14081" max="14081" width="26.85546875" style="877" customWidth="1"/>
    <col min="14082" max="14082" width="7.42578125" style="877" customWidth="1"/>
    <col min="14083" max="14083" width="4.85546875" style="877" customWidth="1"/>
    <col min="14084" max="14084" width="7" style="877" bestFit="1" customWidth="1"/>
    <col min="14085" max="14085" width="7.85546875" style="877" customWidth="1"/>
    <col min="14086" max="14086" width="5.5703125" style="877" customWidth="1"/>
    <col min="14087" max="14087" width="6.42578125" style="877" bestFit="1" customWidth="1"/>
    <col min="14088" max="14088" width="6.7109375" style="877" customWidth="1"/>
    <col min="14089" max="14089" width="6.85546875" style="877" customWidth="1"/>
    <col min="14090" max="14090" width="7" style="877" bestFit="1" customWidth="1"/>
    <col min="14091" max="14091" width="10.28515625" style="877" bestFit="1" customWidth="1"/>
    <col min="14092" max="14092" width="9.28515625" style="877" bestFit="1" customWidth="1"/>
    <col min="14093" max="14093" width="9.140625" style="877"/>
    <col min="14094" max="14094" width="9.28515625" style="877" bestFit="1" customWidth="1"/>
    <col min="14095" max="14095" width="13.28515625" style="877" customWidth="1"/>
    <col min="14096" max="14336" width="9.140625" style="877"/>
    <col min="14337" max="14337" width="26.85546875" style="877" customWidth="1"/>
    <col min="14338" max="14338" width="7.42578125" style="877" customWidth="1"/>
    <col min="14339" max="14339" width="4.85546875" style="877" customWidth="1"/>
    <col min="14340" max="14340" width="7" style="877" bestFit="1" customWidth="1"/>
    <col min="14341" max="14341" width="7.85546875" style="877" customWidth="1"/>
    <col min="14342" max="14342" width="5.5703125" style="877" customWidth="1"/>
    <col min="14343" max="14343" width="6.42578125" style="877" bestFit="1" customWidth="1"/>
    <col min="14344" max="14344" width="6.7109375" style="877" customWidth="1"/>
    <col min="14345" max="14345" width="6.85546875" style="877" customWidth="1"/>
    <col min="14346" max="14346" width="7" style="877" bestFit="1" customWidth="1"/>
    <col min="14347" max="14347" width="10.28515625" style="877" bestFit="1" customWidth="1"/>
    <col min="14348" max="14348" width="9.28515625" style="877" bestFit="1" customWidth="1"/>
    <col min="14349" max="14349" width="9.140625" style="877"/>
    <col min="14350" max="14350" width="9.28515625" style="877" bestFit="1" customWidth="1"/>
    <col min="14351" max="14351" width="13.28515625" style="877" customWidth="1"/>
    <col min="14352" max="14592" width="9.140625" style="877"/>
    <col min="14593" max="14593" width="26.85546875" style="877" customWidth="1"/>
    <col min="14594" max="14594" width="7.42578125" style="877" customWidth="1"/>
    <col min="14595" max="14595" width="4.85546875" style="877" customWidth="1"/>
    <col min="14596" max="14596" width="7" style="877" bestFit="1" customWidth="1"/>
    <col min="14597" max="14597" width="7.85546875" style="877" customWidth="1"/>
    <col min="14598" max="14598" width="5.5703125" style="877" customWidth="1"/>
    <col min="14599" max="14599" width="6.42578125" style="877" bestFit="1" customWidth="1"/>
    <col min="14600" max="14600" width="6.7109375" style="877" customWidth="1"/>
    <col min="14601" max="14601" width="6.85546875" style="877" customWidth="1"/>
    <col min="14602" max="14602" width="7" style="877" bestFit="1" customWidth="1"/>
    <col min="14603" max="14603" width="10.28515625" style="877" bestFit="1" customWidth="1"/>
    <col min="14604" max="14604" width="9.28515625" style="877" bestFit="1" customWidth="1"/>
    <col min="14605" max="14605" width="9.140625" style="877"/>
    <col min="14606" max="14606" width="9.28515625" style="877" bestFit="1" customWidth="1"/>
    <col min="14607" max="14607" width="13.28515625" style="877" customWidth="1"/>
    <col min="14608" max="14848" width="9.140625" style="877"/>
    <col min="14849" max="14849" width="26.85546875" style="877" customWidth="1"/>
    <col min="14850" max="14850" width="7.42578125" style="877" customWidth="1"/>
    <col min="14851" max="14851" width="4.85546875" style="877" customWidth="1"/>
    <col min="14852" max="14852" width="7" style="877" bestFit="1" customWidth="1"/>
    <col min="14853" max="14853" width="7.85546875" style="877" customWidth="1"/>
    <col min="14854" max="14854" width="5.5703125" style="877" customWidth="1"/>
    <col min="14855" max="14855" width="6.42578125" style="877" bestFit="1" customWidth="1"/>
    <col min="14856" max="14856" width="6.7109375" style="877" customWidth="1"/>
    <col min="14857" max="14857" width="6.85546875" style="877" customWidth="1"/>
    <col min="14858" max="14858" width="7" style="877" bestFit="1" customWidth="1"/>
    <col min="14859" max="14859" width="10.28515625" style="877" bestFit="1" customWidth="1"/>
    <col min="14860" max="14860" width="9.28515625" style="877" bestFit="1" customWidth="1"/>
    <col min="14861" max="14861" width="9.140625" style="877"/>
    <col min="14862" max="14862" width="9.28515625" style="877" bestFit="1" customWidth="1"/>
    <col min="14863" max="14863" width="13.28515625" style="877" customWidth="1"/>
    <col min="14864" max="15104" width="9.140625" style="877"/>
    <col min="15105" max="15105" width="26.85546875" style="877" customWidth="1"/>
    <col min="15106" max="15106" width="7.42578125" style="877" customWidth="1"/>
    <col min="15107" max="15107" width="4.85546875" style="877" customWidth="1"/>
    <col min="15108" max="15108" width="7" style="877" bestFit="1" customWidth="1"/>
    <col min="15109" max="15109" width="7.85546875" style="877" customWidth="1"/>
    <col min="15110" max="15110" width="5.5703125" style="877" customWidth="1"/>
    <col min="15111" max="15111" width="6.42578125" style="877" bestFit="1" customWidth="1"/>
    <col min="15112" max="15112" width="6.7109375" style="877" customWidth="1"/>
    <col min="15113" max="15113" width="6.85546875" style="877" customWidth="1"/>
    <col min="15114" max="15114" width="7" style="877" bestFit="1" customWidth="1"/>
    <col min="15115" max="15115" width="10.28515625" style="877" bestFit="1" customWidth="1"/>
    <col min="15116" max="15116" width="9.28515625" style="877" bestFit="1" customWidth="1"/>
    <col min="15117" max="15117" width="9.140625" style="877"/>
    <col min="15118" max="15118" width="9.28515625" style="877" bestFit="1" customWidth="1"/>
    <col min="15119" max="15119" width="13.28515625" style="877" customWidth="1"/>
    <col min="15120" max="15360" width="9.140625" style="877"/>
    <col min="15361" max="15361" width="26.85546875" style="877" customWidth="1"/>
    <col min="15362" max="15362" width="7.42578125" style="877" customWidth="1"/>
    <col min="15363" max="15363" width="4.85546875" style="877" customWidth="1"/>
    <col min="15364" max="15364" width="7" style="877" bestFit="1" customWidth="1"/>
    <col min="15365" max="15365" width="7.85546875" style="877" customWidth="1"/>
    <col min="15366" max="15366" width="5.5703125" style="877" customWidth="1"/>
    <col min="15367" max="15367" width="6.42578125" style="877" bestFit="1" customWidth="1"/>
    <col min="15368" max="15368" width="6.7109375" style="877" customWidth="1"/>
    <col min="15369" max="15369" width="6.85546875" style="877" customWidth="1"/>
    <col min="15370" max="15370" width="7" style="877" bestFit="1" customWidth="1"/>
    <col min="15371" max="15371" width="10.28515625" style="877" bestFit="1" customWidth="1"/>
    <col min="15372" max="15372" width="9.28515625" style="877" bestFit="1" customWidth="1"/>
    <col min="15373" max="15373" width="9.140625" style="877"/>
    <col min="15374" max="15374" width="9.28515625" style="877" bestFit="1" customWidth="1"/>
    <col min="15375" max="15375" width="13.28515625" style="877" customWidth="1"/>
    <col min="15376" max="15616" width="9.140625" style="877"/>
    <col min="15617" max="15617" width="26.85546875" style="877" customWidth="1"/>
    <col min="15618" max="15618" width="7.42578125" style="877" customWidth="1"/>
    <col min="15619" max="15619" width="4.85546875" style="877" customWidth="1"/>
    <col min="15620" max="15620" width="7" style="877" bestFit="1" customWidth="1"/>
    <col min="15621" max="15621" width="7.85546875" style="877" customWidth="1"/>
    <col min="15622" max="15622" width="5.5703125" style="877" customWidth="1"/>
    <col min="15623" max="15623" width="6.42578125" style="877" bestFit="1" customWidth="1"/>
    <col min="15624" max="15624" width="6.7109375" style="877" customWidth="1"/>
    <col min="15625" max="15625" width="6.85546875" style="877" customWidth="1"/>
    <col min="15626" max="15626" width="7" style="877" bestFit="1" customWidth="1"/>
    <col min="15627" max="15627" width="10.28515625" style="877" bestFit="1" customWidth="1"/>
    <col min="15628" max="15628" width="9.28515625" style="877" bestFit="1" customWidth="1"/>
    <col min="15629" max="15629" width="9.140625" style="877"/>
    <col min="15630" max="15630" width="9.28515625" style="877" bestFit="1" customWidth="1"/>
    <col min="15631" max="15631" width="13.28515625" style="877" customWidth="1"/>
    <col min="15632" max="15872" width="9.140625" style="877"/>
    <col min="15873" max="15873" width="26.85546875" style="877" customWidth="1"/>
    <col min="15874" max="15874" width="7.42578125" style="877" customWidth="1"/>
    <col min="15875" max="15875" width="4.85546875" style="877" customWidth="1"/>
    <col min="15876" max="15876" width="7" style="877" bestFit="1" customWidth="1"/>
    <col min="15877" max="15877" width="7.85546875" style="877" customWidth="1"/>
    <col min="15878" max="15878" width="5.5703125" style="877" customWidth="1"/>
    <col min="15879" max="15879" width="6.42578125" style="877" bestFit="1" customWidth="1"/>
    <col min="15880" max="15880" width="6.7109375" style="877" customWidth="1"/>
    <col min="15881" max="15881" width="6.85546875" style="877" customWidth="1"/>
    <col min="15882" max="15882" width="7" style="877" bestFit="1" customWidth="1"/>
    <col min="15883" max="15883" width="10.28515625" style="877" bestFit="1" customWidth="1"/>
    <col min="15884" max="15884" width="9.28515625" style="877" bestFit="1" customWidth="1"/>
    <col min="15885" max="15885" width="9.140625" style="877"/>
    <col min="15886" max="15886" width="9.28515625" style="877" bestFit="1" customWidth="1"/>
    <col min="15887" max="15887" width="13.28515625" style="877" customWidth="1"/>
    <col min="15888" max="16128" width="9.140625" style="877"/>
    <col min="16129" max="16129" width="26.85546875" style="877" customWidth="1"/>
    <col min="16130" max="16130" width="7.42578125" style="877" customWidth="1"/>
    <col min="16131" max="16131" width="4.85546875" style="877" customWidth="1"/>
    <col min="16132" max="16132" width="7" style="877" bestFit="1" customWidth="1"/>
    <col min="16133" max="16133" width="7.85546875" style="877" customWidth="1"/>
    <col min="16134" max="16134" width="5.5703125" style="877" customWidth="1"/>
    <col min="16135" max="16135" width="6.42578125" style="877" bestFit="1" customWidth="1"/>
    <col min="16136" max="16136" width="6.7109375" style="877" customWidth="1"/>
    <col min="16137" max="16137" width="6.85546875" style="877" customWidth="1"/>
    <col min="16138" max="16138" width="7" style="877" bestFit="1" customWidth="1"/>
    <col min="16139" max="16139" width="10.28515625" style="877" bestFit="1" customWidth="1"/>
    <col min="16140" max="16140" width="9.28515625" style="877" bestFit="1" customWidth="1"/>
    <col min="16141" max="16141" width="9.140625" style="877"/>
    <col min="16142" max="16142" width="9.28515625" style="877" bestFit="1" customWidth="1"/>
    <col min="16143" max="16143" width="13.28515625" style="877" customWidth="1"/>
    <col min="16144" max="16384" width="9.140625" style="877"/>
  </cols>
  <sheetData>
    <row r="1" spans="1:16" x14ac:dyDescent="0.2">
      <c r="A1" s="873" t="s">
        <v>775</v>
      </c>
      <c r="B1" s="874">
        <v>2700</v>
      </c>
      <c r="C1" s="874" t="s">
        <v>343</v>
      </c>
      <c r="D1" s="875"/>
      <c r="E1" s="876"/>
      <c r="F1" s="876"/>
      <c r="G1" s="876"/>
      <c r="H1" s="876"/>
      <c r="I1" s="876"/>
      <c r="J1" s="876"/>
      <c r="K1" s="876"/>
    </row>
    <row r="3" spans="1:16" ht="73.5" customHeight="1" x14ac:dyDescent="0.2">
      <c r="A3" s="1126" t="s">
        <v>338</v>
      </c>
      <c r="B3" s="1128" t="s">
        <v>339</v>
      </c>
      <c r="C3" s="1128" t="s">
        <v>388</v>
      </c>
      <c r="D3" s="1125" t="s">
        <v>389</v>
      </c>
      <c r="E3" s="1125" t="s">
        <v>390</v>
      </c>
      <c r="F3" s="1125" t="s">
        <v>391</v>
      </c>
      <c r="G3" s="1125" t="s">
        <v>392</v>
      </c>
      <c r="H3" s="1125" t="s">
        <v>393</v>
      </c>
      <c r="I3" s="1125" t="s">
        <v>394</v>
      </c>
      <c r="J3" s="1125" t="s">
        <v>395</v>
      </c>
      <c r="K3" s="1125" t="s">
        <v>396</v>
      </c>
    </row>
    <row r="4" spans="1:16" x14ac:dyDescent="0.2">
      <c r="A4" s="1127"/>
      <c r="B4" s="1128"/>
      <c r="C4" s="1128"/>
      <c r="D4" s="1125"/>
      <c r="E4" s="1125"/>
      <c r="F4" s="1125"/>
      <c r="G4" s="1125"/>
      <c r="H4" s="1125"/>
      <c r="I4" s="1125"/>
      <c r="J4" s="1125"/>
      <c r="K4" s="1125"/>
    </row>
    <row r="5" spans="1:16" ht="15" x14ac:dyDescent="0.25">
      <c r="A5" s="878" t="s">
        <v>675</v>
      </c>
      <c r="B5" s="879"/>
      <c r="C5" s="879"/>
      <c r="D5" s="880"/>
      <c r="E5" s="880"/>
      <c r="F5" s="880"/>
      <c r="G5" s="880"/>
      <c r="H5" s="880"/>
      <c r="I5" s="880"/>
      <c r="J5" s="880"/>
      <c r="K5" s="880"/>
      <c r="P5" s="881"/>
    </row>
    <row r="6" spans="1:16" ht="15" x14ac:dyDescent="0.25">
      <c r="A6" s="882" t="s">
        <v>676</v>
      </c>
      <c r="B6" s="882">
        <v>1</v>
      </c>
      <c r="C6" s="882">
        <v>1</v>
      </c>
      <c r="D6" s="883">
        <v>0.25</v>
      </c>
      <c r="E6" s="883">
        <f>D6*B6</f>
        <v>0.25</v>
      </c>
      <c r="F6" s="883">
        <f>D6*0.8</f>
        <v>0.2</v>
      </c>
      <c r="G6" s="883">
        <f>F6*C6</f>
        <v>0.2</v>
      </c>
      <c r="H6" s="883">
        <v>4</v>
      </c>
      <c r="I6" s="884">
        <f>G6*H6</f>
        <v>0.8</v>
      </c>
      <c r="J6" s="883">
        <v>365</v>
      </c>
      <c r="K6" s="885">
        <f>I6*J6</f>
        <v>292</v>
      </c>
      <c r="P6" s="881"/>
    </row>
    <row r="7" spans="1:16" ht="26.25" customHeight="1" x14ac:dyDescent="0.25">
      <c r="A7" s="886" t="s">
        <v>677</v>
      </c>
      <c r="B7" s="882">
        <v>1</v>
      </c>
      <c r="C7" s="882">
        <v>1</v>
      </c>
      <c r="D7" s="883">
        <v>1.5</v>
      </c>
      <c r="E7" s="883">
        <f>D7*B7</f>
        <v>1.5</v>
      </c>
      <c r="F7" s="883">
        <f>D7*0.8</f>
        <v>1.2000000000000002</v>
      </c>
      <c r="G7" s="883">
        <f>F7*C7</f>
        <v>1.2000000000000002</v>
      </c>
      <c r="H7" s="883">
        <v>5.6</v>
      </c>
      <c r="I7" s="884">
        <f>G7*H7</f>
        <v>6.7200000000000006</v>
      </c>
      <c r="J7" s="883">
        <v>365</v>
      </c>
      <c r="K7" s="887">
        <f>I7*J7</f>
        <v>2452.8000000000002</v>
      </c>
      <c r="L7" s="888">
        <f>SUM(K6:K7)</f>
        <v>2744.8</v>
      </c>
      <c r="P7" s="881"/>
    </row>
    <row r="8" spans="1:16" ht="15" x14ac:dyDescent="0.25">
      <c r="A8" s="889"/>
      <c r="B8" s="882"/>
      <c r="C8" s="882"/>
      <c r="D8" s="883"/>
      <c r="E8" s="883"/>
      <c r="F8" s="883"/>
      <c r="G8" s="883"/>
      <c r="H8" s="883"/>
      <c r="I8" s="884"/>
      <c r="J8" s="883"/>
      <c r="K8" s="885"/>
      <c r="P8" s="881"/>
    </row>
    <row r="9" spans="1:16" ht="15" x14ac:dyDescent="0.25">
      <c r="A9" s="878" t="s">
        <v>567</v>
      </c>
      <c r="B9" s="879"/>
      <c r="C9" s="879"/>
      <c r="D9" s="880"/>
      <c r="E9" s="880"/>
      <c r="F9" s="880"/>
      <c r="G9" s="880"/>
      <c r="H9" s="880"/>
      <c r="I9" s="880"/>
      <c r="J9" s="880"/>
      <c r="K9" s="890"/>
      <c r="P9" s="881"/>
    </row>
    <row r="10" spans="1:16" ht="15" x14ac:dyDescent="0.25">
      <c r="A10" s="882" t="s">
        <v>340</v>
      </c>
      <c r="B10" s="882">
        <v>3</v>
      </c>
      <c r="C10" s="882">
        <v>2</v>
      </c>
      <c r="D10" s="891">
        <v>3.5</v>
      </c>
      <c r="E10" s="883">
        <f>D10*B10</f>
        <v>10.5</v>
      </c>
      <c r="F10" s="891">
        <v>2.35</v>
      </c>
      <c r="G10" s="883">
        <f>F10*C10</f>
        <v>4.7</v>
      </c>
      <c r="H10" s="892">
        <f>O17/O18</f>
        <v>10.730871413390011</v>
      </c>
      <c r="I10" s="884">
        <f>G10*H10</f>
        <v>50.435095642933049</v>
      </c>
      <c r="J10" s="883">
        <v>365</v>
      </c>
      <c r="K10" s="887">
        <f>I10*J10</f>
        <v>18408.809909670563</v>
      </c>
      <c r="P10" s="881"/>
    </row>
    <row r="11" spans="1:16" ht="15" x14ac:dyDescent="0.25">
      <c r="A11" s="882" t="s">
        <v>397</v>
      </c>
      <c r="B11" s="882">
        <v>1</v>
      </c>
      <c r="C11" s="882">
        <v>1</v>
      </c>
      <c r="D11" s="893">
        <v>1.5</v>
      </c>
      <c r="E11" s="883">
        <f>D11*B11</f>
        <v>1.5</v>
      </c>
      <c r="F11" s="883">
        <f>D11*0.8</f>
        <v>1.2000000000000002</v>
      </c>
      <c r="G11" s="883">
        <f>F11*C11</f>
        <v>1.2000000000000002</v>
      </c>
      <c r="H11" s="892">
        <f>24-H10</f>
        <v>13.269128586609989</v>
      </c>
      <c r="I11" s="884">
        <f>G11*H11</f>
        <v>15.92295430393199</v>
      </c>
      <c r="J11" s="883">
        <v>365</v>
      </c>
      <c r="K11" s="887">
        <f>I11*J11</f>
        <v>5811.8783209351759</v>
      </c>
      <c r="M11" s="894"/>
      <c r="N11" s="895"/>
      <c r="O11" s="894"/>
      <c r="P11" s="881"/>
    </row>
    <row r="12" spans="1:16" ht="15" x14ac:dyDescent="0.25">
      <c r="A12" s="882"/>
      <c r="B12" s="882"/>
      <c r="C12" s="882"/>
      <c r="D12" s="883"/>
      <c r="E12" s="883"/>
      <c r="F12" s="883"/>
      <c r="G12" s="883"/>
      <c r="H12" s="883"/>
      <c r="I12" s="884"/>
      <c r="J12" s="883"/>
      <c r="K12" s="885"/>
      <c r="M12" s="881"/>
      <c r="N12" s="881"/>
      <c r="O12" s="881"/>
      <c r="P12" s="881"/>
    </row>
    <row r="13" spans="1:16" ht="15" x14ac:dyDescent="0.25">
      <c r="A13" s="878" t="s">
        <v>678</v>
      </c>
      <c r="B13" s="879"/>
      <c r="C13" s="879"/>
      <c r="D13" s="880"/>
      <c r="E13" s="880"/>
      <c r="F13" s="880"/>
      <c r="G13" s="880"/>
      <c r="H13" s="880"/>
      <c r="I13" s="880"/>
      <c r="J13" s="880"/>
      <c r="K13" s="890"/>
      <c r="P13" s="881"/>
    </row>
    <row r="14" spans="1:16" ht="15" x14ac:dyDescent="0.25">
      <c r="A14" s="882" t="s">
        <v>679</v>
      </c>
      <c r="B14" s="882">
        <v>2</v>
      </c>
      <c r="C14" s="882">
        <v>2</v>
      </c>
      <c r="D14" s="896">
        <v>0.55000000000000004</v>
      </c>
      <c r="E14" s="883">
        <f t="shared" ref="E14:E19" si="0">D14*B14</f>
        <v>1.1000000000000001</v>
      </c>
      <c r="F14" s="883">
        <f t="shared" ref="F14:F19" si="1">D14*0.8</f>
        <v>0.44000000000000006</v>
      </c>
      <c r="G14" s="883">
        <f t="shared" ref="G14:G19" si="2">F14*C14</f>
        <v>0.88000000000000012</v>
      </c>
      <c r="H14" s="883">
        <v>4</v>
      </c>
      <c r="I14" s="884">
        <f t="shared" ref="I14:I19" si="3">G14*H14</f>
        <v>3.5200000000000005</v>
      </c>
      <c r="J14" s="883">
        <v>365</v>
      </c>
      <c r="K14" s="887">
        <f t="shared" ref="K14:K19" si="4">I14*J14</f>
        <v>1284.8000000000002</v>
      </c>
      <c r="M14" s="881"/>
      <c r="N14" s="881"/>
      <c r="O14" s="881"/>
      <c r="P14" s="881"/>
    </row>
    <row r="15" spans="1:16" ht="24.75" x14ac:dyDescent="0.25">
      <c r="A15" s="883" t="s">
        <v>680</v>
      </c>
      <c r="B15" s="882">
        <v>2</v>
      </c>
      <c r="C15" s="882">
        <v>2</v>
      </c>
      <c r="D15" s="896">
        <v>0.25</v>
      </c>
      <c r="E15" s="883">
        <f t="shared" si="0"/>
        <v>0.5</v>
      </c>
      <c r="F15" s="883">
        <f t="shared" si="1"/>
        <v>0.2</v>
      </c>
      <c r="G15" s="883">
        <f t="shared" si="2"/>
        <v>0.4</v>
      </c>
      <c r="H15" s="886">
        <v>5.2</v>
      </c>
      <c r="I15" s="884">
        <f t="shared" si="3"/>
        <v>2.08</v>
      </c>
      <c r="J15" s="883">
        <v>365</v>
      </c>
      <c r="K15" s="887">
        <f t="shared" si="4"/>
        <v>759.2</v>
      </c>
      <c r="M15" s="881"/>
      <c r="N15" s="881"/>
      <c r="O15" s="881"/>
      <c r="P15" s="881"/>
    </row>
    <row r="16" spans="1:16" ht="15" x14ac:dyDescent="0.25">
      <c r="A16" s="882" t="s">
        <v>681</v>
      </c>
      <c r="B16" s="882">
        <v>2</v>
      </c>
      <c r="C16" s="882">
        <v>2</v>
      </c>
      <c r="D16" s="896">
        <v>0.37</v>
      </c>
      <c r="E16" s="883">
        <f t="shared" si="0"/>
        <v>0.74</v>
      </c>
      <c r="F16" s="883">
        <f t="shared" si="1"/>
        <v>0.29599999999999999</v>
      </c>
      <c r="G16" s="883">
        <f t="shared" si="2"/>
        <v>0.59199999999999997</v>
      </c>
      <c r="H16" s="886">
        <v>5.2</v>
      </c>
      <c r="I16" s="884">
        <f t="shared" si="3"/>
        <v>3.0783999999999998</v>
      </c>
      <c r="J16" s="883">
        <v>365</v>
      </c>
      <c r="K16" s="887">
        <f t="shared" si="4"/>
        <v>1123.616</v>
      </c>
      <c r="M16" s="897" t="s">
        <v>682</v>
      </c>
      <c r="N16" s="897" t="s">
        <v>683</v>
      </c>
      <c r="O16" s="898">
        <f>220.09+117.79</f>
        <v>337.88</v>
      </c>
      <c r="P16" s="897" t="s">
        <v>684</v>
      </c>
    </row>
    <row r="17" spans="1:16" ht="15" x14ac:dyDescent="0.25">
      <c r="A17" s="882" t="s">
        <v>685</v>
      </c>
      <c r="B17" s="882">
        <v>2</v>
      </c>
      <c r="C17" s="882">
        <v>2</v>
      </c>
      <c r="D17" s="883">
        <v>0.25</v>
      </c>
      <c r="E17" s="883">
        <f t="shared" si="0"/>
        <v>0.5</v>
      </c>
      <c r="F17" s="883">
        <f t="shared" si="1"/>
        <v>0.2</v>
      </c>
      <c r="G17" s="883">
        <f t="shared" si="2"/>
        <v>0.4</v>
      </c>
      <c r="H17" s="886">
        <v>5.2</v>
      </c>
      <c r="I17" s="884">
        <f t="shared" si="3"/>
        <v>2.08</v>
      </c>
      <c r="J17" s="883">
        <v>365</v>
      </c>
      <c r="K17" s="887">
        <f t="shared" si="4"/>
        <v>759.2</v>
      </c>
      <c r="M17" s="897" t="s">
        <v>686</v>
      </c>
      <c r="N17" s="897" t="s">
        <v>683</v>
      </c>
      <c r="O17" s="898">
        <f>286.12+117.79</f>
        <v>403.91</v>
      </c>
      <c r="P17" s="897" t="s">
        <v>684</v>
      </c>
    </row>
    <row r="18" spans="1:16" ht="15" x14ac:dyDescent="0.25">
      <c r="A18" s="882" t="s">
        <v>687</v>
      </c>
      <c r="B18" s="882">
        <v>2</v>
      </c>
      <c r="C18" s="882">
        <v>2</v>
      </c>
      <c r="D18" s="883">
        <v>0.25</v>
      </c>
      <c r="E18" s="883">
        <f t="shared" si="0"/>
        <v>0.5</v>
      </c>
      <c r="F18" s="883">
        <f t="shared" si="1"/>
        <v>0.2</v>
      </c>
      <c r="G18" s="883">
        <f t="shared" si="2"/>
        <v>0.4</v>
      </c>
      <c r="H18" s="883">
        <v>24</v>
      </c>
      <c r="I18" s="884">
        <f t="shared" si="3"/>
        <v>9.6000000000000014</v>
      </c>
      <c r="J18" s="883">
        <v>365</v>
      </c>
      <c r="K18" s="885">
        <f t="shared" si="4"/>
        <v>3504.0000000000005</v>
      </c>
      <c r="M18" s="899" t="s">
        <v>688</v>
      </c>
      <c r="N18" s="899" t="s">
        <v>683</v>
      </c>
      <c r="O18" s="900">
        <v>37.64</v>
      </c>
      <c r="P18" s="899" t="s">
        <v>689</v>
      </c>
    </row>
    <row r="19" spans="1:16" x14ac:dyDescent="0.2">
      <c r="A19" s="882" t="s">
        <v>690</v>
      </c>
      <c r="B19" s="882">
        <v>2</v>
      </c>
      <c r="C19" s="882">
        <v>2</v>
      </c>
      <c r="D19" s="896">
        <v>0.18</v>
      </c>
      <c r="E19" s="883">
        <f t="shared" si="0"/>
        <v>0.36</v>
      </c>
      <c r="F19" s="883">
        <f t="shared" si="1"/>
        <v>0.14399999999999999</v>
      </c>
      <c r="G19" s="883">
        <f t="shared" si="2"/>
        <v>0.28799999999999998</v>
      </c>
      <c r="H19" s="883">
        <v>2</v>
      </c>
      <c r="I19" s="884">
        <f t="shared" si="3"/>
        <v>0.57599999999999996</v>
      </c>
      <c r="J19" s="883">
        <v>365</v>
      </c>
      <c r="K19" s="885">
        <f t="shared" si="4"/>
        <v>210.23999999999998</v>
      </c>
      <c r="L19" s="888">
        <f>SUM(K14:K19)</f>
        <v>7641.0560000000005</v>
      </c>
    </row>
    <row r="20" spans="1:16" x14ac:dyDescent="0.2">
      <c r="A20" s="882"/>
      <c r="B20" s="882"/>
      <c r="C20" s="882"/>
      <c r="D20" s="883"/>
      <c r="E20" s="883"/>
      <c r="F20" s="883"/>
      <c r="G20" s="883"/>
      <c r="H20" s="883"/>
      <c r="I20" s="884"/>
      <c r="J20" s="883"/>
      <c r="K20" s="885"/>
    </row>
    <row r="21" spans="1:16" ht="15" x14ac:dyDescent="0.25">
      <c r="A21" s="878" t="s">
        <v>691</v>
      </c>
      <c r="B21" s="879"/>
      <c r="C21" s="879"/>
      <c r="D21" s="880"/>
      <c r="E21" s="880"/>
      <c r="F21" s="880"/>
      <c r="G21" s="880"/>
      <c r="H21" s="880"/>
      <c r="I21" s="880"/>
      <c r="J21" s="880"/>
      <c r="K21" s="890"/>
      <c r="P21" s="881"/>
    </row>
    <row r="22" spans="1:16" x14ac:dyDescent="0.2">
      <c r="A22" s="882" t="s">
        <v>692</v>
      </c>
      <c r="B22" s="882">
        <v>3</v>
      </c>
      <c r="C22" s="882">
        <v>2</v>
      </c>
      <c r="D22" s="901">
        <v>3.5</v>
      </c>
      <c r="E22" s="883">
        <f>D22*B22</f>
        <v>10.5</v>
      </c>
      <c r="F22" s="901">
        <v>2.35</v>
      </c>
      <c r="G22" s="883">
        <f>F22*C22</f>
        <v>4.7</v>
      </c>
      <c r="H22" s="893">
        <f>5.2*2</f>
        <v>10.4</v>
      </c>
      <c r="I22" s="884">
        <f>G22*H22</f>
        <v>48.88</v>
      </c>
      <c r="J22" s="883">
        <v>365</v>
      </c>
      <c r="K22" s="887">
        <f>I22*J22</f>
        <v>17841.2</v>
      </c>
    </row>
    <row r="23" spans="1:16" x14ac:dyDescent="0.2">
      <c r="A23" s="882" t="s">
        <v>397</v>
      </c>
      <c r="B23" s="882">
        <v>1</v>
      </c>
      <c r="C23" s="882">
        <v>1</v>
      </c>
      <c r="D23" s="891">
        <v>2.75</v>
      </c>
      <c r="E23" s="883">
        <f>D23*B23</f>
        <v>2.75</v>
      </c>
      <c r="F23" s="891">
        <v>1.95</v>
      </c>
      <c r="G23" s="883">
        <f>F23*C23</f>
        <v>1.95</v>
      </c>
      <c r="H23" s="892">
        <f>24-H22</f>
        <v>13.6</v>
      </c>
      <c r="I23" s="884">
        <f>G23*H23</f>
        <v>26.52</v>
      </c>
      <c r="J23" s="883">
        <v>365</v>
      </c>
      <c r="K23" s="887">
        <f>I23*J23</f>
        <v>9679.7999999999993</v>
      </c>
    </row>
    <row r="24" spans="1:16" x14ac:dyDescent="0.2">
      <c r="A24" s="882"/>
      <c r="B24" s="882"/>
      <c r="C24" s="882"/>
      <c r="D24" s="886"/>
      <c r="E24" s="883"/>
      <c r="F24" s="883"/>
      <c r="G24" s="883"/>
      <c r="H24" s="883"/>
      <c r="I24" s="884"/>
      <c r="J24" s="883"/>
      <c r="K24" s="885"/>
    </row>
    <row r="25" spans="1:16" ht="15" x14ac:dyDescent="0.25">
      <c r="A25" s="878" t="s">
        <v>693</v>
      </c>
      <c r="B25" s="879"/>
      <c r="C25" s="879"/>
      <c r="D25" s="902"/>
      <c r="E25" s="880"/>
      <c r="F25" s="880"/>
      <c r="G25" s="880"/>
      <c r="H25" s="880"/>
      <c r="I25" s="880"/>
      <c r="J25" s="880"/>
      <c r="K25" s="890"/>
      <c r="P25" s="881"/>
    </row>
    <row r="26" spans="1:16" x14ac:dyDescent="0.2">
      <c r="A26" s="882" t="s">
        <v>397</v>
      </c>
      <c r="B26" s="882">
        <v>2</v>
      </c>
      <c r="C26" s="882">
        <v>2</v>
      </c>
      <c r="D26" s="891">
        <v>2.1</v>
      </c>
      <c r="E26" s="883">
        <f>D26*B26</f>
        <v>4.2</v>
      </c>
      <c r="F26" s="891">
        <v>1.4</v>
      </c>
      <c r="G26" s="883">
        <f>F26*C26</f>
        <v>2.8</v>
      </c>
      <c r="H26" s="893">
        <f>6.8*2</f>
        <v>13.6</v>
      </c>
      <c r="I26" s="884">
        <f>G26*H26</f>
        <v>38.08</v>
      </c>
      <c r="J26" s="883">
        <v>365</v>
      </c>
      <c r="K26" s="887">
        <f>I26*J26</f>
        <v>13899.199999999999</v>
      </c>
    </row>
    <row r="27" spans="1:16" x14ac:dyDescent="0.2">
      <c r="A27" s="882" t="s">
        <v>694</v>
      </c>
      <c r="B27" s="882">
        <v>2</v>
      </c>
      <c r="C27" s="882">
        <v>2</v>
      </c>
      <c r="D27" s="886">
        <v>1.5</v>
      </c>
      <c r="E27" s="883">
        <f>D27*B27</f>
        <v>3</v>
      </c>
      <c r="F27" s="883">
        <f>D27*0.8</f>
        <v>1.2000000000000002</v>
      </c>
      <c r="G27" s="883">
        <f>F27*C27</f>
        <v>2.4000000000000004</v>
      </c>
      <c r="H27" s="903">
        <f>5.2*2</f>
        <v>10.4</v>
      </c>
      <c r="I27" s="884">
        <f>G27*H27</f>
        <v>24.960000000000004</v>
      </c>
      <c r="J27" s="883">
        <v>365</v>
      </c>
      <c r="K27" s="887">
        <f>I27*J27</f>
        <v>9110.4000000000015</v>
      </c>
    </row>
    <row r="28" spans="1:16" x14ac:dyDescent="0.2">
      <c r="A28" s="882" t="s">
        <v>695</v>
      </c>
      <c r="B28" s="882">
        <v>3</v>
      </c>
      <c r="C28" s="882">
        <v>2</v>
      </c>
      <c r="D28" s="886">
        <v>5.5</v>
      </c>
      <c r="E28" s="883">
        <f>D28*B28</f>
        <v>16.5</v>
      </c>
      <c r="F28" s="883">
        <v>4.29</v>
      </c>
      <c r="G28" s="883">
        <f>F28*C28</f>
        <v>8.58</v>
      </c>
      <c r="H28" s="893">
        <f>6.4*2</f>
        <v>12.8</v>
      </c>
      <c r="I28" s="884">
        <f>G28*H28</f>
        <v>109.82400000000001</v>
      </c>
      <c r="J28" s="883">
        <v>365</v>
      </c>
      <c r="K28" s="887">
        <f>I28*J28</f>
        <v>40085.760000000002</v>
      </c>
    </row>
    <row r="29" spans="1:16" x14ac:dyDescent="0.2">
      <c r="A29" s="882"/>
      <c r="B29" s="882"/>
      <c r="C29" s="882"/>
      <c r="D29" s="883"/>
      <c r="E29" s="883"/>
      <c r="F29" s="883"/>
      <c r="G29" s="883"/>
      <c r="H29" s="883"/>
      <c r="I29" s="884"/>
      <c r="J29" s="883"/>
      <c r="K29" s="885"/>
    </row>
    <row r="30" spans="1:16" ht="15" x14ac:dyDescent="0.25">
      <c r="A30" s="878" t="s">
        <v>568</v>
      </c>
      <c r="B30" s="879"/>
      <c r="C30" s="879"/>
      <c r="D30" s="880"/>
      <c r="E30" s="880"/>
      <c r="F30" s="880"/>
      <c r="G30" s="880"/>
      <c r="H30" s="880"/>
      <c r="I30" s="880"/>
      <c r="J30" s="880"/>
      <c r="K30" s="890"/>
      <c r="P30" s="881"/>
    </row>
    <row r="31" spans="1:16" x14ac:dyDescent="0.2">
      <c r="A31" s="882" t="s">
        <v>398</v>
      </c>
      <c r="B31" s="882">
        <v>2</v>
      </c>
      <c r="C31" s="882">
        <v>2</v>
      </c>
      <c r="D31" s="883">
        <v>4</v>
      </c>
      <c r="E31" s="883">
        <f>D31*B31</f>
        <v>8</v>
      </c>
      <c r="F31" s="883">
        <f>D31*0.8</f>
        <v>3.2</v>
      </c>
      <c r="G31" s="883">
        <f>F31*C31</f>
        <v>6.4</v>
      </c>
      <c r="H31" s="883">
        <v>24</v>
      </c>
      <c r="I31" s="884">
        <f>G31*H31</f>
        <v>153.60000000000002</v>
      </c>
      <c r="J31" s="883">
        <v>365</v>
      </c>
      <c r="K31" s="887">
        <f>I31*J31</f>
        <v>56064.000000000007</v>
      </c>
    </row>
    <row r="32" spans="1:16" x14ac:dyDescent="0.2">
      <c r="A32" s="882"/>
      <c r="B32" s="882"/>
      <c r="C32" s="882"/>
      <c r="D32" s="883"/>
      <c r="E32" s="883"/>
      <c r="F32" s="883"/>
      <c r="G32" s="883"/>
      <c r="H32" s="883"/>
      <c r="I32" s="884"/>
      <c r="J32" s="883"/>
      <c r="K32" s="887"/>
    </row>
    <row r="33" spans="1:16" x14ac:dyDescent="0.2">
      <c r="A33" s="878" t="s">
        <v>696</v>
      </c>
      <c r="B33" s="879"/>
      <c r="C33" s="879"/>
      <c r="D33" s="880"/>
      <c r="E33" s="880"/>
      <c r="F33" s="880"/>
      <c r="G33" s="880"/>
      <c r="H33" s="880"/>
      <c r="I33" s="880"/>
      <c r="J33" s="880"/>
      <c r="K33" s="890"/>
    </row>
    <row r="34" spans="1:16" x14ac:dyDescent="0.2">
      <c r="A34" s="904" t="s">
        <v>697</v>
      </c>
      <c r="B34" s="882">
        <v>2</v>
      </c>
      <c r="C34" s="882">
        <v>1</v>
      </c>
      <c r="D34" s="883">
        <v>0.37</v>
      </c>
      <c r="E34" s="883">
        <f>D34*B34</f>
        <v>0.74</v>
      </c>
      <c r="F34" s="883">
        <f>D34*0.8</f>
        <v>0.29599999999999999</v>
      </c>
      <c r="G34" s="883">
        <f>F34*C34</f>
        <v>0.29599999999999999</v>
      </c>
      <c r="H34" s="883">
        <v>2.4</v>
      </c>
      <c r="I34" s="884">
        <f>G34*H34</f>
        <v>0.71039999999999992</v>
      </c>
      <c r="J34" s="883">
        <v>365</v>
      </c>
      <c r="K34" s="887">
        <f>I34*J34</f>
        <v>259.29599999999999</v>
      </c>
    </row>
    <row r="35" spans="1:16" x14ac:dyDescent="0.2">
      <c r="A35" s="904" t="s">
        <v>698</v>
      </c>
      <c r="B35" s="882">
        <v>1</v>
      </c>
      <c r="C35" s="882">
        <v>1</v>
      </c>
      <c r="D35" s="883">
        <v>0.65</v>
      </c>
      <c r="E35" s="883">
        <f>D35*B35</f>
        <v>0.65</v>
      </c>
      <c r="F35" s="883">
        <f>D35*0.8</f>
        <v>0.52</v>
      </c>
      <c r="G35" s="883">
        <f>F35*C35</f>
        <v>0.52</v>
      </c>
      <c r="H35" s="883">
        <v>0.5</v>
      </c>
      <c r="I35" s="884">
        <f>G35*H35</f>
        <v>0.26</v>
      </c>
      <c r="J35" s="883">
        <v>12</v>
      </c>
      <c r="K35" s="887">
        <f>I35*J35</f>
        <v>3.12</v>
      </c>
    </row>
    <row r="36" spans="1:16" x14ac:dyDescent="0.2">
      <c r="A36" s="905" t="s">
        <v>699</v>
      </c>
      <c r="B36" s="882">
        <v>1</v>
      </c>
      <c r="C36" s="882">
        <v>1</v>
      </c>
      <c r="D36" s="883">
        <v>4.5</v>
      </c>
      <c r="E36" s="883">
        <f>D36*B36</f>
        <v>4.5</v>
      </c>
      <c r="F36" s="883">
        <f>D36</f>
        <v>4.5</v>
      </c>
      <c r="G36" s="883">
        <f>F36*C36</f>
        <v>4.5</v>
      </c>
      <c r="H36" s="883">
        <v>24</v>
      </c>
      <c r="I36" s="884">
        <f>G36*H36</f>
        <v>108</v>
      </c>
      <c r="J36" s="883">
        <v>90</v>
      </c>
      <c r="K36" s="887">
        <f>I36*J36</f>
        <v>9720</v>
      </c>
    </row>
    <row r="37" spans="1:16" x14ac:dyDescent="0.2">
      <c r="A37" s="882"/>
      <c r="B37" s="882"/>
      <c r="C37" s="882"/>
      <c r="D37" s="883"/>
      <c r="E37" s="883"/>
      <c r="F37" s="883"/>
      <c r="G37" s="883"/>
      <c r="H37" s="883"/>
      <c r="I37" s="884"/>
      <c r="J37" s="883"/>
      <c r="K37" s="887"/>
    </row>
    <row r="38" spans="1:16" ht="15" x14ac:dyDescent="0.25">
      <c r="A38" s="906" t="s">
        <v>700</v>
      </c>
      <c r="B38" s="879"/>
      <c r="C38" s="879"/>
      <c r="D38" s="880"/>
      <c r="E38" s="880"/>
      <c r="F38" s="880"/>
      <c r="G38" s="880"/>
      <c r="H38" s="880"/>
      <c r="I38" s="880"/>
      <c r="J38" s="880"/>
      <c r="K38" s="890"/>
      <c r="P38" s="881"/>
    </row>
    <row r="39" spans="1:16" x14ac:dyDescent="0.2">
      <c r="A39" s="907" t="s">
        <v>340</v>
      </c>
      <c r="B39" s="882">
        <f>B10</f>
        <v>3</v>
      </c>
      <c r="C39" s="882">
        <f>C10</f>
        <v>2</v>
      </c>
      <c r="D39" s="893">
        <f>D10</f>
        <v>3.5</v>
      </c>
      <c r="E39" s="883">
        <f>D39*B39</f>
        <v>10.5</v>
      </c>
      <c r="F39" s="883">
        <f>D39*0.8</f>
        <v>2.8000000000000003</v>
      </c>
      <c r="G39" s="883">
        <f>F39*C39</f>
        <v>5.6000000000000005</v>
      </c>
      <c r="H39" s="892">
        <f>H10</f>
        <v>10.730871413390011</v>
      </c>
      <c r="I39" s="884">
        <f>G39*H39</f>
        <v>60.092879914984067</v>
      </c>
      <c r="J39" s="883">
        <v>365</v>
      </c>
      <c r="K39" s="887">
        <f>I39*J39</f>
        <v>21933.901168969183</v>
      </c>
    </row>
    <row r="40" spans="1:16" x14ac:dyDescent="0.2">
      <c r="A40" s="882"/>
      <c r="B40" s="882"/>
      <c r="C40" s="882"/>
      <c r="D40" s="883"/>
      <c r="E40" s="883"/>
      <c r="F40" s="883"/>
      <c r="G40" s="883"/>
      <c r="H40" s="883"/>
      <c r="I40" s="884"/>
      <c r="J40" s="883"/>
      <c r="K40" s="885"/>
    </row>
    <row r="41" spans="1:16" ht="15" x14ac:dyDescent="0.25">
      <c r="A41" s="878" t="s">
        <v>634</v>
      </c>
      <c r="B41" s="879"/>
      <c r="C41" s="879"/>
      <c r="D41" s="880"/>
      <c r="E41" s="880"/>
      <c r="F41" s="880"/>
      <c r="G41" s="880"/>
      <c r="H41" s="880"/>
      <c r="I41" s="880"/>
      <c r="J41" s="880"/>
      <c r="K41" s="890"/>
      <c r="P41" s="881"/>
    </row>
    <row r="42" spans="1:16" x14ac:dyDescent="0.2">
      <c r="A42" s="882" t="s">
        <v>701</v>
      </c>
      <c r="B42" s="882">
        <v>2</v>
      </c>
      <c r="C42" s="882">
        <v>1</v>
      </c>
      <c r="D42" s="883">
        <v>0.37</v>
      </c>
      <c r="E42" s="883">
        <f>D42*B42</f>
        <v>0.74</v>
      </c>
      <c r="F42" s="883">
        <f>D42*0.8</f>
        <v>0.29599999999999999</v>
      </c>
      <c r="G42" s="883">
        <f>F42*C42</f>
        <v>0.29599999999999999</v>
      </c>
      <c r="H42" s="886">
        <f>'[9]7_Ingr_static'!$M$17</f>
        <v>2.4000000000000004</v>
      </c>
      <c r="I42" s="884">
        <f>G42*H42</f>
        <v>0.71040000000000003</v>
      </c>
      <c r="J42" s="883">
        <v>365</v>
      </c>
      <c r="K42" s="887">
        <f>I42*J42</f>
        <v>259.29599999999999</v>
      </c>
    </row>
    <row r="43" spans="1:16" x14ac:dyDescent="0.2">
      <c r="A43" s="882" t="s">
        <v>702</v>
      </c>
      <c r="B43" s="882">
        <v>1</v>
      </c>
      <c r="C43" s="882">
        <v>1</v>
      </c>
      <c r="D43" s="896">
        <v>0.12</v>
      </c>
      <c r="E43" s="883">
        <f>D43*B43</f>
        <v>0.12</v>
      </c>
      <c r="F43" s="883">
        <f>D43*0.8</f>
        <v>9.6000000000000002E-2</v>
      </c>
      <c r="G43" s="883">
        <f>F43*C43</f>
        <v>9.6000000000000002E-2</v>
      </c>
      <c r="H43" s="886">
        <v>24</v>
      </c>
      <c r="I43" s="884">
        <f>G43*H43</f>
        <v>2.3040000000000003</v>
      </c>
      <c r="J43" s="883">
        <v>365</v>
      </c>
      <c r="K43" s="887">
        <f>I43*J43</f>
        <v>840.96000000000015</v>
      </c>
      <c r="L43" s="888">
        <f>SUM(K42:K44)</f>
        <v>2414.2560000000003</v>
      </c>
    </row>
    <row r="44" spans="1:16" x14ac:dyDescent="0.2">
      <c r="A44" s="882" t="s">
        <v>703</v>
      </c>
      <c r="B44" s="882">
        <v>2</v>
      </c>
      <c r="C44" s="882">
        <v>1</v>
      </c>
      <c r="D44" s="883">
        <v>0.75</v>
      </c>
      <c r="E44" s="883">
        <f>D44*B44</f>
        <v>1.5</v>
      </c>
      <c r="F44" s="883">
        <f>D44*0.8</f>
        <v>0.60000000000000009</v>
      </c>
      <c r="G44" s="883">
        <f>F44*C44</f>
        <v>0.60000000000000009</v>
      </c>
      <c r="H44" s="886">
        <f>H49</f>
        <v>6</v>
      </c>
      <c r="I44" s="884">
        <f>G44*H44</f>
        <v>3.6000000000000005</v>
      </c>
      <c r="J44" s="883">
        <v>365</v>
      </c>
      <c r="K44" s="887">
        <f>I44*J44</f>
        <v>1314.0000000000002</v>
      </c>
    </row>
    <row r="45" spans="1:16" x14ac:dyDescent="0.2">
      <c r="A45" s="882"/>
      <c r="B45" s="882"/>
      <c r="C45" s="882"/>
      <c r="D45" s="883"/>
      <c r="E45" s="883"/>
      <c r="F45" s="883"/>
      <c r="G45" s="883"/>
      <c r="H45" s="886"/>
      <c r="I45" s="884"/>
      <c r="J45" s="883"/>
      <c r="K45" s="885"/>
    </row>
    <row r="46" spans="1:16" ht="15" x14ac:dyDescent="0.25">
      <c r="A46" s="878" t="s">
        <v>704</v>
      </c>
      <c r="B46" s="879"/>
      <c r="C46" s="879"/>
      <c r="D46" s="880"/>
      <c r="E46" s="880"/>
      <c r="F46" s="880"/>
      <c r="G46" s="880"/>
      <c r="H46" s="902"/>
      <c r="I46" s="880"/>
      <c r="J46" s="880"/>
      <c r="K46" s="890"/>
      <c r="P46" s="881"/>
    </row>
    <row r="47" spans="1:16" x14ac:dyDescent="0.2">
      <c r="A47" s="882" t="s">
        <v>705</v>
      </c>
      <c r="B47" s="882">
        <v>1</v>
      </c>
      <c r="C47" s="882">
        <v>1</v>
      </c>
      <c r="D47" s="883">
        <v>0.55000000000000004</v>
      </c>
      <c r="E47" s="883">
        <f>D47*B47</f>
        <v>0.55000000000000004</v>
      </c>
      <c r="F47" s="883">
        <f>D47*0.8</f>
        <v>0.44000000000000006</v>
      </c>
      <c r="G47" s="883">
        <f>F47*C47</f>
        <v>0.44000000000000006</v>
      </c>
      <c r="H47" s="886">
        <f>H49</f>
        <v>6</v>
      </c>
      <c r="I47" s="884">
        <f>G47*H47</f>
        <v>2.6400000000000006</v>
      </c>
      <c r="J47" s="883">
        <v>365</v>
      </c>
      <c r="K47" s="887">
        <f>I47*J47</f>
        <v>963.60000000000025</v>
      </c>
    </row>
    <row r="48" spans="1:16" x14ac:dyDescent="0.2">
      <c r="A48" s="882" t="s">
        <v>706</v>
      </c>
      <c r="B48" s="882">
        <v>2</v>
      </c>
      <c r="C48" s="882">
        <v>1</v>
      </c>
      <c r="D48" s="883">
        <v>0.75</v>
      </c>
      <c r="E48" s="883">
        <f>D48*B48</f>
        <v>1.5</v>
      </c>
      <c r="F48" s="883">
        <f>D48*0.8</f>
        <v>0.60000000000000009</v>
      </c>
      <c r="G48" s="883">
        <f>F48*C48</f>
        <v>0.60000000000000009</v>
      </c>
      <c r="H48" s="886">
        <f>H49</f>
        <v>6</v>
      </c>
      <c r="I48" s="884">
        <f>G48*H48</f>
        <v>3.6000000000000005</v>
      </c>
      <c r="J48" s="883">
        <v>365</v>
      </c>
      <c r="K48" s="887">
        <f>I48*J48</f>
        <v>1314.0000000000002</v>
      </c>
    </row>
    <row r="49" spans="1:16" x14ac:dyDescent="0.2">
      <c r="A49" s="882" t="s">
        <v>707</v>
      </c>
      <c r="B49" s="882">
        <v>1</v>
      </c>
      <c r="C49" s="882">
        <v>1</v>
      </c>
      <c r="D49" s="883">
        <v>4</v>
      </c>
      <c r="E49" s="883">
        <f>D49*B49</f>
        <v>4</v>
      </c>
      <c r="F49" s="883">
        <f>D49*0.8</f>
        <v>3.2</v>
      </c>
      <c r="G49" s="883">
        <f>F49*C49</f>
        <v>3.2</v>
      </c>
      <c r="H49" s="886">
        <v>6</v>
      </c>
      <c r="I49" s="884">
        <f>G49*H49</f>
        <v>19.200000000000003</v>
      </c>
      <c r="J49" s="883">
        <v>365</v>
      </c>
      <c r="K49" s="887">
        <f>I49*J49</f>
        <v>7008.0000000000009</v>
      </c>
    </row>
    <row r="50" spans="1:16" x14ac:dyDescent="0.2">
      <c r="A50" s="882" t="s">
        <v>708</v>
      </c>
      <c r="B50" s="882">
        <v>1</v>
      </c>
      <c r="C50" s="882">
        <v>1</v>
      </c>
      <c r="D50" s="883">
        <v>0.25</v>
      </c>
      <c r="E50" s="883">
        <f>D50*B50</f>
        <v>0.25</v>
      </c>
      <c r="F50" s="883">
        <f>D50*0.8</f>
        <v>0.2</v>
      </c>
      <c r="G50" s="883">
        <f>F50*C50</f>
        <v>0.2</v>
      </c>
      <c r="H50" s="886">
        <f>H49</f>
        <v>6</v>
      </c>
      <c r="I50" s="884">
        <f>G50*H50</f>
        <v>1.2000000000000002</v>
      </c>
      <c r="J50" s="883">
        <v>365</v>
      </c>
      <c r="K50" s="887">
        <f>I50*J50</f>
        <v>438.00000000000006</v>
      </c>
      <c r="L50" s="888">
        <f>SUM(K47:K50)</f>
        <v>9723.6000000000022</v>
      </c>
    </row>
    <row r="51" spans="1:16" x14ac:dyDescent="0.2">
      <c r="A51" s="882"/>
      <c r="B51" s="882"/>
      <c r="C51" s="882"/>
      <c r="D51" s="883"/>
      <c r="E51" s="883"/>
      <c r="F51" s="883"/>
      <c r="G51" s="883"/>
      <c r="H51" s="886"/>
      <c r="I51" s="884"/>
      <c r="J51" s="883"/>
      <c r="K51" s="885"/>
    </row>
    <row r="52" spans="1:16" ht="15" x14ac:dyDescent="0.25">
      <c r="A52" s="878" t="s">
        <v>709</v>
      </c>
      <c r="B52" s="879"/>
      <c r="C52" s="879"/>
      <c r="D52" s="880"/>
      <c r="E52" s="880"/>
      <c r="F52" s="880"/>
      <c r="G52" s="880"/>
      <c r="H52" s="902"/>
      <c r="I52" s="880"/>
      <c r="J52" s="880"/>
      <c r="K52" s="890"/>
      <c r="P52" s="881"/>
    </row>
    <row r="53" spans="1:16" ht="24" x14ac:dyDescent="0.2">
      <c r="A53" s="884" t="s">
        <v>710</v>
      </c>
      <c r="B53" s="882">
        <v>1</v>
      </c>
      <c r="C53" s="882">
        <v>1</v>
      </c>
      <c r="D53" s="896">
        <v>0.55000000000000004</v>
      </c>
      <c r="E53" s="883">
        <f>D53*B53</f>
        <v>0.55000000000000004</v>
      </c>
      <c r="F53" s="883">
        <f>D53*0.8</f>
        <v>0.44000000000000006</v>
      </c>
      <c r="G53" s="883">
        <f>F53*C53</f>
        <v>0.44000000000000006</v>
      </c>
      <c r="H53" s="886">
        <f>H49</f>
        <v>6</v>
      </c>
      <c r="I53" s="884">
        <f>G53*H53</f>
        <v>2.6400000000000006</v>
      </c>
      <c r="J53" s="883">
        <v>365</v>
      </c>
      <c r="K53" s="887">
        <f>I53*J53</f>
        <v>963.60000000000025</v>
      </c>
    </row>
    <row r="54" spans="1:16" x14ac:dyDescent="0.2">
      <c r="A54" s="882" t="s">
        <v>711</v>
      </c>
      <c r="B54" s="882">
        <v>2</v>
      </c>
      <c r="C54" s="882">
        <v>1</v>
      </c>
      <c r="D54" s="883">
        <v>0.37</v>
      </c>
      <c r="E54" s="883">
        <f>D54*B54</f>
        <v>0.74</v>
      </c>
      <c r="F54" s="883">
        <f>D54*0.8</f>
        <v>0.29599999999999999</v>
      </c>
      <c r="G54" s="883">
        <f>F54*C54</f>
        <v>0.29599999999999999</v>
      </c>
      <c r="H54" s="886">
        <f>H49</f>
        <v>6</v>
      </c>
      <c r="I54" s="884">
        <f>G54*H54</f>
        <v>1.7759999999999998</v>
      </c>
      <c r="J54" s="883">
        <v>365</v>
      </c>
      <c r="K54" s="887">
        <f>I54*J54</f>
        <v>648.2399999999999</v>
      </c>
      <c r="L54" s="888">
        <f>SUM(K53:K54)</f>
        <v>1611.8400000000001</v>
      </c>
    </row>
    <row r="55" spans="1:16" x14ac:dyDescent="0.2">
      <c r="A55" s="882"/>
      <c r="B55" s="882"/>
      <c r="C55" s="882"/>
      <c r="D55" s="883"/>
      <c r="E55" s="883"/>
      <c r="F55" s="883"/>
      <c r="G55" s="883"/>
      <c r="H55" s="886"/>
      <c r="I55" s="884"/>
      <c r="J55" s="883"/>
      <c r="K55" s="885"/>
    </row>
    <row r="56" spans="1:16" ht="15" x14ac:dyDescent="0.25">
      <c r="A56" s="878" t="s">
        <v>641</v>
      </c>
      <c r="B56" s="879"/>
      <c r="C56" s="879"/>
      <c r="D56" s="880"/>
      <c r="E56" s="880"/>
      <c r="F56" s="880"/>
      <c r="G56" s="880"/>
      <c r="H56" s="902"/>
      <c r="I56" s="880"/>
      <c r="J56" s="880"/>
      <c r="K56" s="890"/>
      <c r="P56" s="881"/>
    </row>
    <row r="57" spans="1:16" x14ac:dyDescent="0.2">
      <c r="A57" s="882" t="s">
        <v>712</v>
      </c>
      <c r="B57" s="882">
        <v>2</v>
      </c>
      <c r="C57" s="882">
        <v>1</v>
      </c>
      <c r="D57" s="883">
        <v>1.1000000000000001</v>
      </c>
      <c r="E57" s="883">
        <f>D57*B57</f>
        <v>2.2000000000000002</v>
      </c>
      <c r="F57" s="883">
        <f>D57</f>
        <v>1.1000000000000001</v>
      </c>
      <c r="G57" s="883">
        <f>F57*C57</f>
        <v>1.1000000000000001</v>
      </c>
      <c r="H57" s="908">
        <f>'[9]11_Bazin apa uzata'!$K$26</f>
        <v>4</v>
      </c>
      <c r="I57" s="884">
        <f>G57*H57</f>
        <v>4.4000000000000004</v>
      </c>
      <c r="J57" s="883">
        <v>365</v>
      </c>
      <c r="K57" s="887">
        <f>I57*J57</f>
        <v>1606.0000000000002</v>
      </c>
    </row>
    <row r="58" spans="1:16" x14ac:dyDescent="0.2">
      <c r="A58" s="882"/>
      <c r="B58" s="882"/>
      <c r="C58" s="882"/>
      <c r="D58" s="883"/>
      <c r="E58" s="883"/>
      <c r="F58" s="883"/>
      <c r="G58" s="883"/>
      <c r="H58" s="883"/>
      <c r="I58" s="884"/>
      <c r="J58" s="883"/>
      <c r="K58" s="885"/>
    </row>
    <row r="59" spans="1:16" ht="15" x14ac:dyDescent="0.25">
      <c r="A59" s="906" t="s">
        <v>713</v>
      </c>
      <c r="B59" s="879"/>
      <c r="C59" s="879"/>
      <c r="D59" s="880"/>
      <c r="E59" s="880"/>
      <c r="F59" s="880"/>
      <c r="G59" s="880"/>
      <c r="H59" s="902"/>
      <c r="I59" s="880"/>
      <c r="J59" s="880"/>
      <c r="K59" s="890"/>
      <c r="P59" s="881"/>
    </row>
    <row r="60" spans="1:16" x14ac:dyDescent="0.2">
      <c r="A60" s="907" t="s">
        <v>713</v>
      </c>
      <c r="B60" s="882">
        <v>2</v>
      </c>
      <c r="C60" s="882">
        <v>1</v>
      </c>
      <c r="D60" s="883">
        <v>1.1000000000000001</v>
      </c>
      <c r="E60" s="883">
        <f>D60*B60</f>
        <v>2.2000000000000002</v>
      </c>
      <c r="F60" s="883">
        <f>D60</f>
        <v>1.1000000000000001</v>
      </c>
      <c r="G60" s="883">
        <f>F60*C60</f>
        <v>1.1000000000000001</v>
      </c>
      <c r="H60" s="908">
        <f>H53</f>
        <v>6</v>
      </c>
      <c r="I60" s="884">
        <f>G60*H60</f>
        <v>6.6000000000000005</v>
      </c>
      <c r="J60" s="883">
        <v>365</v>
      </c>
      <c r="K60" s="887">
        <f>I60*J60</f>
        <v>2409</v>
      </c>
    </row>
    <row r="61" spans="1:16" x14ac:dyDescent="0.2">
      <c r="A61" s="882"/>
      <c r="B61" s="882"/>
      <c r="C61" s="882"/>
      <c r="D61" s="883"/>
      <c r="E61" s="883"/>
      <c r="F61" s="883"/>
      <c r="G61" s="883"/>
      <c r="H61" s="883"/>
      <c r="I61" s="884"/>
      <c r="J61" s="883"/>
      <c r="K61" s="885"/>
    </row>
    <row r="62" spans="1:16" x14ac:dyDescent="0.2">
      <c r="A62" s="878" t="s">
        <v>714</v>
      </c>
      <c r="B62" s="879"/>
      <c r="C62" s="879"/>
      <c r="D62" s="880"/>
      <c r="E62" s="880"/>
      <c r="F62" s="880"/>
      <c r="G62" s="880"/>
      <c r="H62" s="880"/>
      <c r="I62" s="880"/>
      <c r="J62" s="880"/>
      <c r="K62" s="890"/>
    </row>
    <row r="63" spans="1:16" x14ac:dyDescent="0.2">
      <c r="A63" s="882" t="s">
        <v>714</v>
      </c>
      <c r="B63" s="882">
        <v>1</v>
      </c>
      <c r="C63" s="882">
        <v>1</v>
      </c>
      <c r="D63" s="883">
        <v>1.1000000000000001</v>
      </c>
      <c r="E63" s="883">
        <f>D63*B63</f>
        <v>1.1000000000000001</v>
      </c>
      <c r="F63" s="883">
        <f>D63*0.8</f>
        <v>0.88000000000000012</v>
      </c>
      <c r="G63" s="883">
        <f>F63*C63</f>
        <v>0.88000000000000012</v>
      </c>
      <c r="H63" s="882" t="s">
        <v>715</v>
      </c>
      <c r="I63" s="882"/>
      <c r="J63" s="883"/>
      <c r="K63" s="885"/>
    </row>
    <row r="64" spans="1:16" x14ac:dyDescent="0.2">
      <c r="A64" s="909"/>
      <c r="B64" s="909"/>
      <c r="C64" s="909"/>
      <c r="D64" s="910"/>
      <c r="E64" s="910"/>
      <c r="F64" s="910"/>
      <c r="G64" s="910"/>
      <c r="H64" s="909"/>
      <c r="I64" s="909"/>
      <c r="J64" s="910"/>
      <c r="K64" s="911"/>
    </row>
    <row r="65" spans="1:12" x14ac:dyDescent="0.2">
      <c r="A65" s="906" t="s">
        <v>716</v>
      </c>
      <c r="B65" s="912"/>
      <c r="C65" s="912"/>
      <c r="D65" s="902"/>
      <c r="E65" s="902"/>
      <c r="F65" s="902"/>
      <c r="G65" s="902"/>
      <c r="H65" s="902"/>
      <c r="I65" s="902"/>
      <c r="J65" s="902"/>
      <c r="K65" s="890"/>
    </row>
    <row r="66" spans="1:12" x14ac:dyDescent="0.2">
      <c r="A66" s="907" t="s">
        <v>716</v>
      </c>
      <c r="B66" s="907">
        <v>1</v>
      </c>
      <c r="C66" s="907">
        <v>1</v>
      </c>
      <c r="D66" s="886">
        <v>1.1000000000000001</v>
      </c>
      <c r="E66" s="886">
        <f>D66*B66</f>
        <v>1.1000000000000001</v>
      </c>
      <c r="F66" s="886">
        <f>D66*0.8</f>
        <v>0.88000000000000012</v>
      </c>
      <c r="G66" s="886">
        <f>F66*C66</f>
        <v>0.88000000000000012</v>
      </c>
      <c r="H66" s="907" t="s">
        <v>715</v>
      </c>
      <c r="I66" s="907"/>
      <c r="J66" s="886"/>
      <c r="K66" s="885"/>
    </row>
    <row r="67" spans="1:12" s="876" customFormat="1" x14ac:dyDescent="0.2">
      <c r="E67" s="913">
        <f>SUM(E6:E66)</f>
        <v>95.339999999999975</v>
      </c>
      <c r="G67" s="876">
        <f>SUM(G6:G66)</f>
        <v>58.134000000000015</v>
      </c>
      <c r="J67" s="873" t="s">
        <v>102</v>
      </c>
      <c r="K67" s="914">
        <f>SUM(K6:K66)</f>
        <v>230967.91739957494</v>
      </c>
    </row>
    <row r="69" spans="1:12" x14ac:dyDescent="0.2">
      <c r="D69" s="915"/>
      <c r="K69" s="916"/>
      <c r="L69" s="916"/>
    </row>
    <row r="70" spans="1:12" x14ac:dyDescent="0.2">
      <c r="K70" s="916"/>
      <c r="L70" s="916"/>
    </row>
  </sheetData>
  <mergeCells count="11">
    <mergeCell ref="F3:F4"/>
    <mergeCell ref="A3:A4"/>
    <mergeCell ref="B3:B4"/>
    <mergeCell ref="C3:C4"/>
    <mergeCell ref="D3:D4"/>
    <mergeCell ref="E3:E4"/>
    <mergeCell ref="G3:G4"/>
    <mergeCell ref="H3:H4"/>
    <mergeCell ref="I3:I4"/>
    <mergeCell ref="J3:J4"/>
    <mergeCell ref="K3:K4"/>
  </mergeCells>
  <pageMargins left="0.7" right="0.7" top="0.75" bottom="0.75" header="0.3" footer="0.3"/>
  <pageSetup paperSize="9" scale="9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F425D-1B62-4F66-9A89-D5952A93BEC9}">
  <sheetPr>
    <tabColor theme="5" tint="0.59999389629810485"/>
  </sheetPr>
  <dimension ref="A1:L98"/>
  <sheetViews>
    <sheetView view="pageBreakPreview" zoomScaleNormal="100" zoomScaleSheetLayoutView="100" workbookViewId="0">
      <selection activeCell="O27" sqref="O27"/>
    </sheetView>
  </sheetViews>
  <sheetFormatPr defaultRowHeight="12.75" x14ac:dyDescent="0.2"/>
  <cols>
    <col min="1" max="1" width="8.42578125" style="919" customWidth="1"/>
    <col min="2" max="2" width="45.42578125" style="961" customWidth="1"/>
    <col min="3" max="3" width="7.5703125" style="919" bestFit="1" customWidth="1"/>
    <col min="4" max="4" width="5.7109375" style="919" hidden="1" customWidth="1"/>
    <col min="5" max="5" width="8.7109375" style="919" customWidth="1"/>
    <col min="6" max="6" width="11" style="960" customWidth="1"/>
    <col min="7" max="7" width="13.5703125" style="960" customWidth="1"/>
    <col min="8" max="8" width="13" style="952" customWidth="1"/>
    <col min="9" max="256" width="9.140625" style="919"/>
    <col min="257" max="257" width="8.42578125" style="919" customWidth="1"/>
    <col min="258" max="258" width="45.42578125" style="919" customWidth="1"/>
    <col min="259" max="259" width="7.5703125" style="919" bestFit="1" customWidth="1"/>
    <col min="260" max="260" width="0" style="919" hidden="1" customWidth="1"/>
    <col min="261" max="261" width="8.7109375" style="919" customWidth="1"/>
    <col min="262" max="262" width="11" style="919" customWidth="1"/>
    <col min="263" max="263" width="13.5703125" style="919" customWidth="1"/>
    <col min="264" max="264" width="13" style="919" customWidth="1"/>
    <col min="265" max="512" width="9.140625" style="919"/>
    <col min="513" max="513" width="8.42578125" style="919" customWidth="1"/>
    <col min="514" max="514" width="45.42578125" style="919" customWidth="1"/>
    <col min="515" max="515" width="7.5703125" style="919" bestFit="1" customWidth="1"/>
    <col min="516" max="516" width="0" style="919" hidden="1" customWidth="1"/>
    <col min="517" max="517" width="8.7109375" style="919" customWidth="1"/>
    <col min="518" max="518" width="11" style="919" customWidth="1"/>
    <col min="519" max="519" width="13.5703125" style="919" customWidth="1"/>
    <col min="520" max="520" width="13" style="919" customWidth="1"/>
    <col min="521" max="768" width="9.140625" style="919"/>
    <col min="769" max="769" width="8.42578125" style="919" customWidth="1"/>
    <col min="770" max="770" width="45.42578125" style="919" customWidth="1"/>
    <col min="771" max="771" width="7.5703125" style="919" bestFit="1" customWidth="1"/>
    <col min="772" max="772" width="0" style="919" hidden="1" customWidth="1"/>
    <col min="773" max="773" width="8.7109375" style="919" customWidth="1"/>
    <col min="774" max="774" width="11" style="919" customWidth="1"/>
    <col min="775" max="775" width="13.5703125" style="919" customWidth="1"/>
    <col min="776" max="776" width="13" style="919" customWidth="1"/>
    <col min="777" max="1024" width="9.140625" style="919"/>
    <col min="1025" max="1025" width="8.42578125" style="919" customWidth="1"/>
    <col min="1026" max="1026" width="45.42578125" style="919" customWidth="1"/>
    <col min="1027" max="1027" width="7.5703125" style="919" bestFit="1" customWidth="1"/>
    <col min="1028" max="1028" width="0" style="919" hidden="1" customWidth="1"/>
    <col min="1029" max="1029" width="8.7109375" style="919" customWidth="1"/>
    <col min="1030" max="1030" width="11" style="919" customWidth="1"/>
    <col min="1031" max="1031" width="13.5703125" style="919" customWidth="1"/>
    <col min="1032" max="1032" width="13" style="919" customWidth="1"/>
    <col min="1033" max="1280" width="9.140625" style="919"/>
    <col min="1281" max="1281" width="8.42578125" style="919" customWidth="1"/>
    <col min="1282" max="1282" width="45.42578125" style="919" customWidth="1"/>
    <col min="1283" max="1283" width="7.5703125" style="919" bestFit="1" customWidth="1"/>
    <col min="1284" max="1284" width="0" style="919" hidden="1" customWidth="1"/>
    <col min="1285" max="1285" width="8.7109375" style="919" customWidth="1"/>
    <col min="1286" max="1286" width="11" style="919" customWidth="1"/>
    <col min="1287" max="1287" width="13.5703125" style="919" customWidth="1"/>
    <col min="1288" max="1288" width="13" style="919" customWidth="1"/>
    <col min="1289" max="1536" width="9.140625" style="919"/>
    <col min="1537" max="1537" width="8.42578125" style="919" customWidth="1"/>
    <col min="1538" max="1538" width="45.42578125" style="919" customWidth="1"/>
    <col min="1539" max="1539" width="7.5703125" style="919" bestFit="1" customWidth="1"/>
    <col min="1540" max="1540" width="0" style="919" hidden="1" customWidth="1"/>
    <col min="1541" max="1541" width="8.7109375" style="919" customWidth="1"/>
    <col min="1542" max="1542" width="11" style="919" customWidth="1"/>
    <col min="1543" max="1543" width="13.5703125" style="919" customWidth="1"/>
    <col min="1544" max="1544" width="13" style="919" customWidth="1"/>
    <col min="1545" max="1792" width="9.140625" style="919"/>
    <col min="1793" max="1793" width="8.42578125" style="919" customWidth="1"/>
    <col min="1794" max="1794" width="45.42578125" style="919" customWidth="1"/>
    <col min="1795" max="1795" width="7.5703125" style="919" bestFit="1" customWidth="1"/>
    <col min="1796" max="1796" width="0" style="919" hidden="1" customWidth="1"/>
    <col min="1797" max="1797" width="8.7109375" style="919" customWidth="1"/>
    <col min="1798" max="1798" width="11" style="919" customWidth="1"/>
    <col min="1799" max="1799" width="13.5703125" style="919" customWidth="1"/>
    <col min="1800" max="1800" width="13" style="919" customWidth="1"/>
    <col min="1801" max="2048" width="9.140625" style="919"/>
    <col min="2049" max="2049" width="8.42578125" style="919" customWidth="1"/>
    <col min="2050" max="2050" width="45.42578125" style="919" customWidth="1"/>
    <col min="2051" max="2051" width="7.5703125" style="919" bestFit="1" customWidth="1"/>
    <col min="2052" max="2052" width="0" style="919" hidden="1" customWidth="1"/>
    <col min="2053" max="2053" width="8.7109375" style="919" customWidth="1"/>
    <col min="2054" max="2054" width="11" style="919" customWidth="1"/>
    <col min="2055" max="2055" width="13.5703125" style="919" customWidth="1"/>
    <col min="2056" max="2056" width="13" style="919" customWidth="1"/>
    <col min="2057" max="2304" width="9.140625" style="919"/>
    <col min="2305" max="2305" width="8.42578125" style="919" customWidth="1"/>
    <col min="2306" max="2306" width="45.42578125" style="919" customWidth="1"/>
    <col min="2307" max="2307" width="7.5703125" style="919" bestFit="1" customWidth="1"/>
    <col min="2308" max="2308" width="0" style="919" hidden="1" customWidth="1"/>
    <col min="2309" max="2309" width="8.7109375" style="919" customWidth="1"/>
    <col min="2310" max="2310" width="11" style="919" customWidth="1"/>
    <col min="2311" max="2311" width="13.5703125" style="919" customWidth="1"/>
    <col min="2312" max="2312" width="13" style="919" customWidth="1"/>
    <col min="2313" max="2560" width="9.140625" style="919"/>
    <col min="2561" max="2561" width="8.42578125" style="919" customWidth="1"/>
    <col min="2562" max="2562" width="45.42578125" style="919" customWidth="1"/>
    <col min="2563" max="2563" width="7.5703125" style="919" bestFit="1" customWidth="1"/>
    <col min="2564" max="2564" width="0" style="919" hidden="1" customWidth="1"/>
    <col min="2565" max="2565" width="8.7109375" style="919" customWidth="1"/>
    <col min="2566" max="2566" width="11" style="919" customWidth="1"/>
    <col min="2567" max="2567" width="13.5703125" style="919" customWidth="1"/>
    <col min="2568" max="2568" width="13" style="919" customWidth="1"/>
    <col min="2569" max="2816" width="9.140625" style="919"/>
    <col min="2817" max="2817" width="8.42578125" style="919" customWidth="1"/>
    <col min="2818" max="2818" width="45.42578125" style="919" customWidth="1"/>
    <col min="2819" max="2819" width="7.5703125" style="919" bestFit="1" customWidth="1"/>
    <col min="2820" max="2820" width="0" style="919" hidden="1" customWidth="1"/>
    <col min="2821" max="2821" width="8.7109375" style="919" customWidth="1"/>
    <col min="2822" max="2822" width="11" style="919" customWidth="1"/>
    <col min="2823" max="2823" width="13.5703125" style="919" customWidth="1"/>
    <col min="2824" max="2824" width="13" style="919" customWidth="1"/>
    <col min="2825" max="3072" width="9.140625" style="919"/>
    <col min="3073" max="3073" width="8.42578125" style="919" customWidth="1"/>
    <col min="3074" max="3074" width="45.42578125" style="919" customWidth="1"/>
    <col min="3075" max="3075" width="7.5703125" style="919" bestFit="1" customWidth="1"/>
    <col min="3076" max="3076" width="0" style="919" hidden="1" customWidth="1"/>
    <col min="3077" max="3077" width="8.7109375" style="919" customWidth="1"/>
    <col min="3078" max="3078" width="11" style="919" customWidth="1"/>
    <col min="3079" max="3079" width="13.5703125" style="919" customWidth="1"/>
    <col min="3080" max="3080" width="13" style="919" customWidth="1"/>
    <col min="3081" max="3328" width="9.140625" style="919"/>
    <col min="3329" max="3329" width="8.42578125" style="919" customWidth="1"/>
    <col min="3330" max="3330" width="45.42578125" style="919" customWidth="1"/>
    <col min="3331" max="3331" width="7.5703125" style="919" bestFit="1" customWidth="1"/>
    <col min="3332" max="3332" width="0" style="919" hidden="1" customWidth="1"/>
    <col min="3333" max="3333" width="8.7109375" style="919" customWidth="1"/>
    <col min="3334" max="3334" width="11" style="919" customWidth="1"/>
    <col min="3335" max="3335" width="13.5703125" style="919" customWidth="1"/>
    <col min="3336" max="3336" width="13" style="919" customWidth="1"/>
    <col min="3337" max="3584" width="9.140625" style="919"/>
    <col min="3585" max="3585" width="8.42578125" style="919" customWidth="1"/>
    <col min="3586" max="3586" width="45.42578125" style="919" customWidth="1"/>
    <col min="3587" max="3587" width="7.5703125" style="919" bestFit="1" customWidth="1"/>
    <col min="3588" max="3588" width="0" style="919" hidden="1" customWidth="1"/>
    <col min="3589" max="3589" width="8.7109375" style="919" customWidth="1"/>
    <col min="3590" max="3590" width="11" style="919" customWidth="1"/>
    <col min="3591" max="3591" width="13.5703125" style="919" customWidth="1"/>
    <col min="3592" max="3592" width="13" style="919" customWidth="1"/>
    <col min="3593" max="3840" width="9.140625" style="919"/>
    <col min="3841" max="3841" width="8.42578125" style="919" customWidth="1"/>
    <col min="3842" max="3842" width="45.42578125" style="919" customWidth="1"/>
    <col min="3843" max="3843" width="7.5703125" style="919" bestFit="1" customWidth="1"/>
    <col min="3844" max="3844" width="0" style="919" hidden="1" customWidth="1"/>
    <col min="3845" max="3845" width="8.7109375" style="919" customWidth="1"/>
    <col min="3846" max="3846" width="11" style="919" customWidth="1"/>
    <col min="3847" max="3847" width="13.5703125" style="919" customWidth="1"/>
    <col min="3848" max="3848" width="13" style="919" customWidth="1"/>
    <col min="3849" max="4096" width="9.140625" style="919"/>
    <col min="4097" max="4097" width="8.42578125" style="919" customWidth="1"/>
    <col min="4098" max="4098" width="45.42578125" style="919" customWidth="1"/>
    <col min="4099" max="4099" width="7.5703125" style="919" bestFit="1" customWidth="1"/>
    <col min="4100" max="4100" width="0" style="919" hidden="1" customWidth="1"/>
    <col min="4101" max="4101" width="8.7109375" style="919" customWidth="1"/>
    <col min="4102" max="4102" width="11" style="919" customWidth="1"/>
    <col min="4103" max="4103" width="13.5703125" style="919" customWidth="1"/>
    <col min="4104" max="4104" width="13" style="919" customWidth="1"/>
    <col min="4105" max="4352" width="9.140625" style="919"/>
    <col min="4353" max="4353" width="8.42578125" style="919" customWidth="1"/>
    <col min="4354" max="4354" width="45.42578125" style="919" customWidth="1"/>
    <col min="4355" max="4355" width="7.5703125" style="919" bestFit="1" customWidth="1"/>
    <col min="4356" max="4356" width="0" style="919" hidden="1" customWidth="1"/>
    <col min="4357" max="4357" width="8.7109375" style="919" customWidth="1"/>
    <col min="4358" max="4358" width="11" style="919" customWidth="1"/>
    <col min="4359" max="4359" width="13.5703125" style="919" customWidth="1"/>
    <col min="4360" max="4360" width="13" style="919" customWidth="1"/>
    <col min="4361" max="4608" width="9.140625" style="919"/>
    <col min="4609" max="4609" width="8.42578125" style="919" customWidth="1"/>
    <col min="4610" max="4610" width="45.42578125" style="919" customWidth="1"/>
    <col min="4611" max="4611" width="7.5703125" style="919" bestFit="1" customWidth="1"/>
    <col min="4612" max="4612" width="0" style="919" hidden="1" customWidth="1"/>
    <col min="4613" max="4613" width="8.7109375" style="919" customWidth="1"/>
    <col min="4614" max="4614" width="11" style="919" customWidth="1"/>
    <col min="4615" max="4615" width="13.5703125" style="919" customWidth="1"/>
    <col min="4616" max="4616" width="13" style="919" customWidth="1"/>
    <col min="4617" max="4864" width="9.140625" style="919"/>
    <col min="4865" max="4865" width="8.42578125" style="919" customWidth="1"/>
    <col min="4866" max="4866" width="45.42578125" style="919" customWidth="1"/>
    <col min="4867" max="4867" width="7.5703125" style="919" bestFit="1" customWidth="1"/>
    <col min="4868" max="4868" width="0" style="919" hidden="1" customWidth="1"/>
    <col min="4869" max="4869" width="8.7109375" style="919" customWidth="1"/>
    <col min="4870" max="4870" width="11" style="919" customWidth="1"/>
    <col min="4871" max="4871" width="13.5703125" style="919" customWidth="1"/>
    <col min="4872" max="4872" width="13" style="919" customWidth="1"/>
    <col min="4873" max="5120" width="9.140625" style="919"/>
    <col min="5121" max="5121" width="8.42578125" style="919" customWidth="1"/>
    <col min="5122" max="5122" width="45.42578125" style="919" customWidth="1"/>
    <col min="5123" max="5123" width="7.5703125" style="919" bestFit="1" customWidth="1"/>
    <col min="5124" max="5124" width="0" style="919" hidden="1" customWidth="1"/>
    <col min="5125" max="5125" width="8.7109375" style="919" customWidth="1"/>
    <col min="5126" max="5126" width="11" style="919" customWidth="1"/>
    <col min="5127" max="5127" width="13.5703125" style="919" customWidth="1"/>
    <col min="5128" max="5128" width="13" style="919" customWidth="1"/>
    <col min="5129" max="5376" width="9.140625" style="919"/>
    <col min="5377" max="5377" width="8.42578125" style="919" customWidth="1"/>
    <col min="5378" max="5378" width="45.42578125" style="919" customWidth="1"/>
    <col min="5379" max="5379" width="7.5703125" style="919" bestFit="1" customWidth="1"/>
    <col min="5380" max="5380" width="0" style="919" hidden="1" customWidth="1"/>
    <col min="5381" max="5381" width="8.7109375" style="919" customWidth="1"/>
    <col min="5382" max="5382" width="11" style="919" customWidth="1"/>
    <col min="5383" max="5383" width="13.5703125" style="919" customWidth="1"/>
    <col min="5384" max="5384" width="13" style="919" customWidth="1"/>
    <col min="5385" max="5632" width="9.140625" style="919"/>
    <col min="5633" max="5633" width="8.42578125" style="919" customWidth="1"/>
    <col min="5634" max="5634" width="45.42578125" style="919" customWidth="1"/>
    <col min="5635" max="5635" width="7.5703125" style="919" bestFit="1" customWidth="1"/>
    <col min="5636" max="5636" width="0" style="919" hidden="1" customWidth="1"/>
    <col min="5637" max="5637" width="8.7109375" style="919" customWidth="1"/>
    <col min="5638" max="5638" width="11" style="919" customWidth="1"/>
    <col min="5639" max="5639" width="13.5703125" style="919" customWidth="1"/>
    <col min="5640" max="5640" width="13" style="919" customWidth="1"/>
    <col min="5641" max="5888" width="9.140625" style="919"/>
    <col min="5889" max="5889" width="8.42578125" style="919" customWidth="1"/>
    <col min="5890" max="5890" width="45.42578125" style="919" customWidth="1"/>
    <col min="5891" max="5891" width="7.5703125" style="919" bestFit="1" customWidth="1"/>
    <col min="5892" max="5892" width="0" style="919" hidden="1" customWidth="1"/>
    <col min="5893" max="5893" width="8.7109375" style="919" customWidth="1"/>
    <col min="5894" max="5894" width="11" style="919" customWidth="1"/>
    <col min="5895" max="5895" width="13.5703125" style="919" customWidth="1"/>
    <col min="5896" max="5896" width="13" style="919" customWidth="1"/>
    <col min="5897" max="6144" width="9.140625" style="919"/>
    <col min="6145" max="6145" width="8.42578125" style="919" customWidth="1"/>
    <col min="6146" max="6146" width="45.42578125" style="919" customWidth="1"/>
    <col min="6147" max="6147" width="7.5703125" style="919" bestFit="1" customWidth="1"/>
    <col min="6148" max="6148" width="0" style="919" hidden="1" customWidth="1"/>
    <col min="6149" max="6149" width="8.7109375" style="919" customWidth="1"/>
    <col min="6150" max="6150" width="11" style="919" customWidth="1"/>
    <col min="6151" max="6151" width="13.5703125" style="919" customWidth="1"/>
    <col min="6152" max="6152" width="13" style="919" customWidth="1"/>
    <col min="6153" max="6400" width="9.140625" style="919"/>
    <col min="6401" max="6401" width="8.42578125" style="919" customWidth="1"/>
    <col min="6402" max="6402" width="45.42578125" style="919" customWidth="1"/>
    <col min="6403" max="6403" width="7.5703125" style="919" bestFit="1" customWidth="1"/>
    <col min="6404" max="6404" width="0" style="919" hidden="1" customWidth="1"/>
    <col min="6405" max="6405" width="8.7109375" style="919" customWidth="1"/>
    <col min="6406" max="6406" width="11" style="919" customWidth="1"/>
    <col min="6407" max="6407" width="13.5703125" style="919" customWidth="1"/>
    <col min="6408" max="6408" width="13" style="919" customWidth="1"/>
    <col min="6409" max="6656" width="9.140625" style="919"/>
    <col min="6657" max="6657" width="8.42578125" style="919" customWidth="1"/>
    <col min="6658" max="6658" width="45.42578125" style="919" customWidth="1"/>
    <col min="6659" max="6659" width="7.5703125" style="919" bestFit="1" customWidth="1"/>
    <col min="6660" max="6660" width="0" style="919" hidden="1" customWidth="1"/>
    <col min="6661" max="6661" width="8.7109375" style="919" customWidth="1"/>
    <col min="6662" max="6662" width="11" style="919" customWidth="1"/>
    <col min="6663" max="6663" width="13.5703125" style="919" customWidth="1"/>
    <col min="6664" max="6664" width="13" style="919" customWidth="1"/>
    <col min="6665" max="6912" width="9.140625" style="919"/>
    <col min="6913" max="6913" width="8.42578125" style="919" customWidth="1"/>
    <col min="6914" max="6914" width="45.42578125" style="919" customWidth="1"/>
    <col min="6915" max="6915" width="7.5703125" style="919" bestFit="1" customWidth="1"/>
    <col min="6916" max="6916" width="0" style="919" hidden="1" customWidth="1"/>
    <col min="6917" max="6917" width="8.7109375" style="919" customWidth="1"/>
    <col min="6918" max="6918" width="11" style="919" customWidth="1"/>
    <col min="6919" max="6919" width="13.5703125" style="919" customWidth="1"/>
    <col min="6920" max="6920" width="13" style="919" customWidth="1"/>
    <col min="6921" max="7168" width="9.140625" style="919"/>
    <col min="7169" max="7169" width="8.42578125" style="919" customWidth="1"/>
    <col min="7170" max="7170" width="45.42578125" style="919" customWidth="1"/>
    <col min="7171" max="7171" width="7.5703125" style="919" bestFit="1" customWidth="1"/>
    <col min="7172" max="7172" width="0" style="919" hidden="1" customWidth="1"/>
    <col min="7173" max="7173" width="8.7109375" style="919" customWidth="1"/>
    <col min="7174" max="7174" width="11" style="919" customWidth="1"/>
    <col min="7175" max="7175" width="13.5703125" style="919" customWidth="1"/>
    <col min="7176" max="7176" width="13" style="919" customWidth="1"/>
    <col min="7177" max="7424" width="9.140625" style="919"/>
    <col min="7425" max="7425" width="8.42578125" style="919" customWidth="1"/>
    <col min="7426" max="7426" width="45.42578125" style="919" customWidth="1"/>
    <col min="7427" max="7427" width="7.5703125" style="919" bestFit="1" customWidth="1"/>
    <col min="7428" max="7428" width="0" style="919" hidden="1" customWidth="1"/>
    <col min="7429" max="7429" width="8.7109375" style="919" customWidth="1"/>
    <col min="7430" max="7430" width="11" style="919" customWidth="1"/>
    <col min="7431" max="7431" width="13.5703125" style="919" customWidth="1"/>
    <col min="7432" max="7432" width="13" style="919" customWidth="1"/>
    <col min="7433" max="7680" width="9.140625" style="919"/>
    <col min="7681" max="7681" width="8.42578125" style="919" customWidth="1"/>
    <col min="7682" max="7682" width="45.42578125" style="919" customWidth="1"/>
    <col min="7683" max="7683" width="7.5703125" style="919" bestFit="1" customWidth="1"/>
    <col min="7684" max="7684" width="0" style="919" hidden="1" customWidth="1"/>
    <col min="7685" max="7685" width="8.7109375" style="919" customWidth="1"/>
    <col min="7686" max="7686" width="11" style="919" customWidth="1"/>
    <col min="7687" max="7687" width="13.5703125" style="919" customWidth="1"/>
    <col min="7688" max="7688" width="13" style="919" customWidth="1"/>
    <col min="7689" max="7936" width="9.140625" style="919"/>
    <col min="7937" max="7937" width="8.42578125" style="919" customWidth="1"/>
    <col min="7938" max="7938" width="45.42578125" style="919" customWidth="1"/>
    <col min="7939" max="7939" width="7.5703125" style="919" bestFit="1" customWidth="1"/>
    <col min="7940" max="7940" width="0" style="919" hidden="1" customWidth="1"/>
    <col min="7941" max="7941" width="8.7109375" style="919" customWidth="1"/>
    <col min="7942" max="7942" width="11" style="919" customWidth="1"/>
    <col min="7943" max="7943" width="13.5703125" style="919" customWidth="1"/>
    <col min="7944" max="7944" width="13" style="919" customWidth="1"/>
    <col min="7945" max="8192" width="9.140625" style="919"/>
    <col min="8193" max="8193" width="8.42578125" style="919" customWidth="1"/>
    <col min="8194" max="8194" width="45.42578125" style="919" customWidth="1"/>
    <col min="8195" max="8195" width="7.5703125" style="919" bestFit="1" customWidth="1"/>
    <col min="8196" max="8196" width="0" style="919" hidden="1" customWidth="1"/>
    <col min="8197" max="8197" width="8.7109375" style="919" customWidth="1"/>
    <col min="8198" max="8198" width="11" style="919" customWidth="1"/>
    <col min="8199" max="8199" width="13.5703125" style="919" customWidth="1"/>
    <col min="8200" max="8200" width="13" style="919" customWidth="1"/>
    <col min="8201" max="8448" width="9.140625" style="919"/>
    <col min="8449" max="8449" width="8.42578125" style="919" customWidth="1"/>
    <col min="8450" max="8450" width="45.42578125" style="919" customWidth="1"/>
    <col min="8451" max="8451" width="7.5703125" style="919" bestFit="1" customWidth="1"/>
    <col min="8452" max="8452" width="0" style="919" hidden="1" customWidth="1"/>
    <col min="8453" max="8453" width="8.7109375" style="919" customWidth="1"/>
    <col min="8454" max="8454" width="11" style="919" customWidth="1"/>
    <col min="8455" max="8455" width="13.5703125" style="919" customWidth="1"/>
    <col min="8456" max="8456" width="13" style="919" customWidth="1"/>
    <col min="8457" max="8704" width="9.140625" style="919"/>
    <col min="8705" max="8705" width="8.42578125" style="919" customWidth="1"/>
    <col min="8706" max="8706" width="45.42578125" style="919" customWidth="1"/>
    <col min="8707" max="8707" width="7.5703125" style="919" bestFit="1" customWidth="1"/>
    <col min="8708" max="8708" width="0" style="919" hidden="1" customWidth="1"/>
    <col min="8709" max="8709" width="8.7109375" style="919" customWidth="1"/>
    <col min="8710" max="8710" width="11" style="919" customWidth="1"/>
    <col min="8711" max="8711" width="13.5703125" style="919" customWidth="1"/>
    <col min="8712" max="8712" width="13" style="919" customWidth="1"/>
    <col min="8713" max="8960" width="9.140625" style="919"/>
    <col min="8961" max="8961" width="8.42578125" style="919" customWidth="1"/>
    <col min="8962" max="8962" width="45.42578125" style="919" customWidth="1"/>
    <col min="8963" max="8963" width="7.5703125" style="919" bestFit="1" customWidth="1"/>
    <col min="8964" max="8964" width="0" style="919" hidden="1" customWidth="1"/>
    <col min="8965" max="8965" width="8.7109375" style="919" customWidth="1"/>
    <col min="8966" max="8966" width="11" style="919" customWidth="1"/>
    <col min="8967" max="8967" width="13.5703125" style="919" customWidth="1"/>
    <col min="8968" max="8968" width="13" style="919" customWidth="1"/>
    <col min="8969" max="9216" width="9.140625" style="919"/>
    <col min="9217" max="9217" width="8.42578125" style="919" customWidth="1"/>
    <col min="9218" max="9218" width="45.42578125" style="919" customWidth="1"/>
    <col min="9219" max="9219" width="7.5703125" style="919" bestFit="1" customWidth="1"/>
    <col min="9220" max="9220" width="0" style="919" hidden="1" customWidth="1"/>
    <col min="9221" max="9221" width="8.7109375" style="919" customWidth="1"/>
    <col min="9222" max="9222" width="11" style="919" customWidth="1"/>
    <col min="9223" max="9223" width="13.5703125" style="919" customWidth="1"/>
    <col min="9224" max="9224" width="13" style="919" customWidth="1"/>
    <col min="9225" max="9472" width="9.140625" style="919"/>
    <col min="9473" max="9473" width="8.42578125" style="919" customWidth="1"/>
    <col min="9474" max="9474" width="45.42578125" style="919" customWidth="1"/>
    <col min="9475" max="9475" width="7.5703125" style="919" bestFit="1" customWidth="1"/>
    <col min="9476" max="9476" width="0" style="919" hidden="1" customWidth="1"/>
    <col min="9477" max="9477" width="8.7109375" style="919" customWidth="1"/>
    <col min="9478" max="9478" width="11" style="919" customWidth="1"/>
    <col min="9479" max="9479" width="13.5703125" style="919" customWidth="1"/>
    <col min="9480" max="9480" width="13" style="919" customWidth="1"/>
    <col min="9481" max="9728" width="9.140625" style="919"/>
    <col min="9729" max="9729" width="8.42578125" style="919" customWidth="1"/>
    <col min="9730" max="9730" width="45.42578125" style="919" customWidth="1"/>
    <col min="9731" max="9731" width="7.5703125" style="919" bestFit="1" customWidth="1"/>
    <col min="9732" max="9732" width="0" style="919" hidden="1" customWidth="1"/>
    <col min="9733" max="9733" width="8.7109375" style="919" customWidth="1"/>
    <col min="9734" max="9734" width="11" style="919" customWidth="1"/>
    <col min="9735" max="9735" width="13.5703125" style="919" customWidth="1"/>
    <col min="9736" max="9736" width="13" style="919" customWidth="1"/>
    <col min="9737" max="9984" width="9.140625" style="919"/>
    <col min="9985" max="9985" width="8.42578125" style="919" customWidth="1"/>
    <col min="9986" max="9986" width="45.42578125" style="919" customWidth="1"/>
    <col min="9987" max="9987" width="7.5703125" style="919" bestFit="1" customWidth="1"/>
    <col min="9988" max="9988" width="0" style="919" hidden="1" customWidth="1"/>
    <col min="9989" max="9989" width="8.7109375" style="919" customWidth="1"/>
    <col min="9990" max="9990" width="11" style="919" customWidth="1"/>
    <col min="9991" max="9991" width="13.5703125" style="919" customWidth="1"/>
    <col min="9992" max="9992" width="13" style="919" customWidth="1"/>
    <col min="9993" max="10240" width="9.140625" style="919"/>
    <col min="10241" max="10241" width="8.42578125" style="919" customWidth="1"/>
    <col min="10242" max="10242" width="45.42578125" style="919" customWidth="1"/>
    <col min="10243" max="10243" width="7.5703125" style="919" bestFit="1" customWidth="1"/>
    <col min="10244" max="10244" width="0" style="919" hidden="1" customWidth="1"/>
    <col min="10245" max="10245" width="8.7109375" style="919" customWidth="1"/>
    <col min="10246" max="10246" width="11" style="919" customWidth="1"/>
    <col min="10247" max="10247" width="13.5703125" style="919" customWidth="1"/>
    <col min="10248" max="10248" width="13" style="919" customWidth="1"/>
    <col min="10249" max="10496" width="9.140625" style="919"/>
    <col min="10497" max="10497" width="8.42578125" style="919" customWidth="1"/>
    <col min="10498" max="10498" width="45.42578125" style="919" customWidth="1"/>
    <col min="10499" max="10499" width="7.5703125" style="919" bestFit="1" customWidth="1"/>
    <col min="10500" max="10500" width="0" style="919" hidden="1" customWidth="1"/>
    <col min="10501" max="10501" width="8.7109375" style="919" customWidth="1"/>
    <col min="10502" max="10502" width="11" style="919" customWidth="1"/>
    <col min="10503" max="10503" width="13.5703125" style="919" customWidth="1"/>
    <col min="10504" max="10504" width="13" style="919" customWidth="1"/>
    <col min="10505" max="10752" width="9.140625" style="919"/>
    <col min="10753" max="10753" width="8.42578125" style="919" customWidth="1"/>
    <col min="10754" max="10754" width="45.42578125" style="919" customWidth="1"/>
    <col min="10755" max="10755" width="7.5703125" style="919" bestFit="1" customWidth="1"/>
    <col min="10756" max="10756" width="0" style="919" hidden="1" customWidth="1"/>
    <col min="10757" max="10757" width="8.7109375" style="919" customWidth="1"/>
    <col min="10758" max="10758" width="11" style="919" customWidth="1"/>
    <col min="10759" max="10759" width="13.5703125" style="919" customWidth="1"/>
    <col min="10760" max="10760" width="13" style="919" customWidth="1"/>
    <col min="10761" max="11008" width="9.140625" style="919"/>
    <col min="11009" max="11009" width="8.42578125" style="919" customWidth="1"/>
    <col min="11010" max="11010" width="45.42578125" style="919" customWidth="1"/>
    <col min="11011" max="11011" width="7.5703125" style="919" bestFit="1" customWidth="1"/>
    <col min="11012" max="11012" width="0" style="919" hidden="1" customWidth="1"/>
    <col min="11013" max="11013" width="8.7109375" style="919" customWidth="1"/>
    <col min="11014" max="11014" width="11" style="919" customWidth="1"/>
    <col min="11015" max="11015" width="13.5703125" style="919" customWidth="1"/>
    <col min="11016" max="11016" width="13" style="919" customWidth="1"/>
    <col min="11017" max="11264" width="9.140625" style="919"/>
    <col min="11265" max="11265" width="8.42578125" style="919" customWidth="1"/>
    <col min="11266" max="11266" width="45.42578125" style="919" customWidth="1"/>
    <col min="11267" max="11267" width="7.5703125" style="919" bestFit="1" customWidth="1"/>
    <col min="11268" max="11268" width="0" style="919" hidden="1" customWidth="1"/>
    <col min="11269" max="11269" width="8.7109375" style="919" customWidth="1"/>
    <col min="11270" max="11270" width="11" style="919" customWidth="1"/>
    <col min="11271" max="11271" width="13.5703125" style="919" customWidth="1"/>
    <col min="11272" max="11272" width="13" style="919" customWidth="1"/>
    <col min="11273" max="11520" width="9.140625" style="919"/>
    <col min="11521" max="11521" width="8.42578125" style="919" customWidth="1"/>
    <col min="11522" max="11522" width="45.42578125" style="919" customWidth="1"/>
    <col min="11523" max="11523" width="7.5703125" style="919" bestFit="1" customWidth="1"/>
    <col min="11524" max="11524" width="0" style="919" hidden="1" customWidth="1"/>
    <col min="11525" max="11525" width="8.7109375" style="919" customWidth="1"/>
    <col min="11526" max="11526" width="11" style="919" customWidth="1"/>
    <col min="11527" max="11527" width="13.5703125" style="919" customWidth="1"/>
    <col min="11528" max="11528" width="13" style="919" customWidth="1"/>
    <col min="11529" max="11776" width="9.140625" style="919"/>
    <col min="11777" max="11777" width="8.42578125" style="919" customWidth="1"/>
    <col min="11778" max="11778" width="45.42578125" style="919" customWidth="1"/>
    <col min="11779" max="11779" width="7.5703125" style="919" bestFit="1" customWidth="1"/>
    <col min="11780" max="11780" width="0" style="919" hidden="1" customWidth="1"/>
    <col min="11781" max="11781" width="8.7109375" style="919" customWidth="1"/>
    <col min="11782" max="11782" width="11" style="919" customWidth="1"/>
    <col min="11783" max="11783" width="13.5703125" style="919" customWidth="1"/>
    <col min="11784" max="11784" width="13" style="919" customWidth="1"/>
    <col min="11785" max="12032" width="9.140625" style="919"/>
    <col min="12033" max="12033" width="8.42578125" style="919" customWidth="1"/>
    <col min="12034" max="12034" width="45.42578125" style="919" customWidth="1"/>
    <col min="12035" max="12035" width="7.5703125" style="919" bestFit="1" customWidth="1"/>
    <col min="12036" max="12036" width="0" style="919" hidden="1" customWidth="1"/>
    <col min="12037" max="12037" width="8.7109375" style="919" customWidth="1"/>
    <col min="12038" max="12038" width="11" style="919" customWidth="1"/>
    <col min="12039" max="12039" width="13.5703125" style="919" customWidth="1"/>
    <col min="12040" max="12040" width="13" style="919" customWidth="1"/>
    <col min="12041" max="12288" width="9.140625" style="919"/>
    <col min="12289" max="12289" width="8.42578125" style="919" customWidth="1"/>
    <col min="12290" max="12290" width="45.42578125" style="919" customWidth="1"/>
    <col min="12291" max="12291" width="7.5703125" style="919" bestFit="1" customWidth="1"/>
    <col min="12292" max="12292" width="0" style="919" hidden="1" customWidth="1"/>
    <col min="12293" max="12293" width="8.7109375" style="919" customWidth="1"/>
    <col min="12294" max="12294" width="11" style="919" customWidth="1"/>
    <col min="12295" max="12295" width="13.5703125" style="919" customWidth="1"/>
    <col min="12296" max="12296" width="13" style="919" customWidth="1"/>
    <col min="12297" max="12544" width="9.140625" style="919"/>
    <col min="12545" max="12545" width="8.42578125" style="919" customWidth="1"/>
    <col min="12546" max="12546" width="45.42578125" style="919" customWidth="1"/>
    <col min="12547" max="12547" width="7.5703125" style="919" bestFit="1" customWidth="1"/>
    <col min="12548" max="12548" width="0" style="919" hidden="1" customWidth="1"/>
    <col min="12549" max="12549" width="8.7109375" style="919" customWidth="1"/>
    <col min="12550" max="12550" width="11" style="919" customWidth="1"/>
    <col min="12551" max="12551" width="13.5703125" style="919" customWidth="1"/>
    <col min="12552" max="12552" width="13" style="919" customWidth="1"/>
    <col min="12553" max="12800" width="9.140625" style="919"/>
    <col min="12801" max="12801" width="8.42578125" style="919" customWidth="1"/>
    <col min="12802" max="12802" width="45.42578125" style="919" customWidth="1"/>
    <col min="12803" max="12803" width="7.5703125" style="919" bestFit="1" customWidth="1"/>
    <col min="12804" max="12804" width="0" style="919" hidden="1" customWidth="1"/>
    <col min="12805" max="12805" width="8.7109375" style="919" customWidth="1"/>
    <col min="12806" max="12806" width="11" style="919" customWidth="1"/>
    <col min="12807" max="12807" width="13.5703125" style="919" customWidth="1"/>
    <col min="12808" max="12808" width="13" style="919" customWidth="1"/>
    <col min="12809" max="13056" width="9.140625" style="919"/>
    <col min="13057" max="13057" width="8.42578125" style="919" customWidth="1"/>
    <col min="13058" max="13058" width="45.42578125" style="919" customWidth="1"/>
    <col min="13059" max="13059" width="7.5703125" style="919" bestFit="1" customWidth="1"/>
    <col min="13060" max="13060" width="0" style="919" hidden="1" customWidth="1"/>
    <col min="13061" max="13061" width="8.7109375" style="919" customWidth="1"/>
    <col min="13062" max="13062" width="11" style="919" customWidth="1"/>
    <col min="13063" max="13063" width="13.5703125" style="919" customWidth="1"/>
    <col min="13064" max="13064" width="13" style="919" customWidth="1"/>
    <col min="13065" max="13312" width="9.140625" style="919"/>
    <col min="13313" max="13313" width="8.42578125" style="919" customWidth="1"/>
    <col min="13314" max="13314" width="45.42578125" style="919" customWidth="1"/>
    <col min="13315" max="13315" width="7.5703125" style="919" bestFit="1" customWidth="1"/>
    <col min="13316" max="13316" width="0" style="919" hidden="1" customWidth="1"/>
    <col min="13317" max="13317" width="8.7109375" style="919" customWidth="1"/>
    <col min="13318" max="13318" width="11" style="919" customWidth="1"/>
    <col min="13319" max="13319" width="13.5703125" style="919" customWidth="1"/>
    <col min="13320" max="13320" width="13" style="919" customWidth="1"/>
    <col min="13321" max="13568" width="9.140625" style="919"/>
    <col min="13569" max="13569" width="8.42578125" style="919" customWidth="1"/>
    <col min="13570" max="13570" width="45.42578125" style="919" customWidth="1"/>
    <col min="13571" max="13571" width="7.5703125" style="919" bestFit="1" customWidth="1"/>
    <col min="13572" max="13572" width="0" style="919" hidden="1" customWidth="1"/>
    <col min="13573" max="13573" width="8.7109375" style="919" customWidth="1"/>
    <col min="13574" max="13574" width="11" style="919" customWidth="1"/>
    <col min="13575" max="13575" width="13.5703125" style="919" customWidth="1"/>
    <col min="13576" max="13576" width="13" style="919" customWidth="1"/>
    <col min="13577" max="13824" width="9.140625" style="919"/>
    <col min="13825" max="13825" width="8.42578125" style="919" customWidth="1"/>
    <col min="13826" max="13826" width="45.42578125" style="919" customWidth="1"/>
    <col min="13827" max="13827" width="7.5703125" style="919" bestFit="1" customWidth="1"/>
    <col min="13828" max="13828" width="0" style="919" hidden="1" customWidth="1"/>
    <col min="13829" max="13829" width="8.7109375" style="919" customWidth="1"/>
    <col min="13830" max="13830" width="11" style="919" customWidth="1"/>
    <col min="13831" max="13831" width="13.5703125" style="919" customWidth="1"/>
    <col min="13832" max="13832" width="13" style="919" customWidth="1"/>
    <col min="13833" max="14080" width="9.140625" style="919"/>
    <col min="14081" max="14081" width="8.42578125" style="919" customWidth="1"/>
    <col min="14082" max="14082" width="45.42578125" style="919" customWidth="1"/>
    <col min="14083" max="14083" width="7.5703125" style="919" bestFit="1" customWidth="1"/>
    <col min="14084" max="14084" width="0" style="919" hidden="1" customWidth="1"/>
    <col min="14085" max="14085" width="8.7109375" style="919" customWidth="1"/>
    <col min="14086" max="14086" width="11" style="919" customWidth="1"/>
    <col min="14087" max="14087" width="13.5703125" style="919" customWidth="1"/>
    <col min="14088" max="14088" width="13" style="919" customWidth="1"/>
    <col min="14089" max="14336" width="9.140625" style="919"/>
    <col min="14337" max="14337" width="8.42578125" style="919" customWidth="1"/>
    <col min="14338" max="14338" width="45.42578125" style="919" customWidth="1"/>
    <col min="14339" max="14339" width="7.5703125" style="919" bestFit="1" customWidth="1"/>
    <col min="14340" max="14340" width="0" style="919" hidden="1" customWidth="1"/>
    <col min="14341" max="14341" width="8.7109375" style="919" customWidth="1"/>
    <col min="14342" max="14342" width="11" style="919" customWidth="1"/>
    <col min="14343" max="14343" width="13.5703125" style="919" customWidth="1"/>
    <col min="14344" max="14344" width="13" style="919" customWidth="1"/>
    <col min="14345" max="14592" width="9.140625" style="919"/>
    <col min="14593" max="14593" width="8.42578125" style="919" customWidth="1"/>
    <col min="14594" max="14594" width="45.42578125" style="919" customWidth="1"/>
    <col min="14595" max="14595" width="7.5703125" style="919" bestFit="1" customWidth="1"/>
    <col min="14596" max="14596" width="0" style="919" hidden="1" customWidth="1"/>
    <col min="14597" max="14597" width="8.7109375" style="919" customWidth="1"/>
    <col min="14598" max="14598" width="11" style="919" customWidth="1"/>
    <col min="14599" max="14599" width="13.5703125" style="919" customWidth="1"/>
    <col min="14600" max="14600" width="13" style="919" customWidth="1"/>
    <col min="14601" max="14848" width="9.140625" style="919"/>
    <col min="14849" max="14849" width="8.42578125" style="919" customWidth="1"/>
    <col min="14850" max="14850" width="45.42578125" style="919" customWidth="1"/>
    <col min="14851" max="14851" width="7.5703125" style="919" bestFit="1" customWidth="1"/>
    <col min="14852" max="14852" width="0" style="919" hidden="1" customWidth="1"/>
    <col min="14853" max="14853" width="8.7109375" style="919" customWidth="1"/>
    <col min="14854" max="14854" width="11" style="919" customWidth="1"/>
    <col min="14855" max="14855" width="13.5703125" style="919" customWidth="1"/>
    <col min="14856" max="14856" width="13" style="919" customWidth="1"/>
    <col min="14857" max="15104" width="9.140625" style="919"/>
    <col min="15105" max="15105" width="8.42578125" style="919" customWidth="1"/>
    <col min="15106" max="15106" width="45.42578125" style="919" customWidth="1"/>
    <col min="15107" max="15107" width="7.5703125" style="919" bestFit="1" customWidth="1"/>
    <col min="15108" max="15108" width="0" style="919" hidden="1" customWidth="1"/>
    <col min="15109" max="15109" width="8.7109375" style="919" customWidth="1"/>
    <col min="15110" max="15110" width="11" style="919" customWidth="1"/>
    <col min="15111" max="15111" width="13.5703125" style="919" customWidth="1"/>
    <col min="15112" max="15112" width="13" style="919" customWidth="1"/>
    <col min="15113" max="15360" width="9.140625" style="919"/>
    <col min="15361" max="15361" width="8.42578125" style="919" customWidth="1"/>
    <col min="15362" max="15362" width="45.42578125" style="919" customWidth="1"/>
    <col min="15363" max="15363" width="7.5703125" style="919" bestFit="1" customWidth="1"/>
    <col min="15364" max="15364" width="0" style="919" hidden="1" customWidth="1"/>
    <col min="15365" max="15365" width="8.7109375" style="919" customWidth="1"/>
    <col min="15366" max="15366" width="11" style="919" customWidth="1"/>
    <col min="15367" max="15367" width="13.5703125" style="919" customWidth="1"/>
    <col min="15368" max="15368" width="13" style="919" customWidth="1"/>
    <col min="15369" max="15616" width="9.140625" style="919"/>
    <col min="15617" max="15617" width="8.42578125" style="919" customWidth="1"/>
    <col min="15618" max="15618" width="45.42578125" style="919" customWidth="1"/>
    <col min="15619" max="15619" width="7.5703125" style="919" bestFit="1" customWidth="1"/>
    <col min="15620" max="15620" width="0" style="919" hidden="1" customWidth="1"/>
    <col min="15621" max="15621" width="8.7109375" style="919" customWidth="1"/>
    <col min="15622" max="15622" width="11" style="919" customWidth="1"/>
    <col min="15623" max="15623" width="13.5703125" style="919" customWidth="1"/>
    <col min="15624" max="15624" width="13" style="919" customWidth="1"/>
    <col min="15625" max="15872" width="9.140625" style="919"/>
    <col min="15873" max="15873" width="8.42578125" style="919" customWidth="1"/>
    <col min="15874" max="15874" width="45.42578125" style="919" customWidth="1"/>
    <col min="15875" max="15875" width="7.5703125" style="919" bestFit="1" customWidth="1"/>
    <col min="15876" max="15876" width="0" style="919" hidden="1" customWidth="1"/>
    <col min="15877" max="15877" width="8.7109375" style="919" customWidth="1"/>
    <col min="15878" max="15878" width="11" style="919" customWidth="1"/>
    <col min="15879" max="15879" width="13.5703125" style="919" customWidth="1"/>
    <col min="15880" max="15880" width="13" style="919" customWidth="1"/>
    <col min="15881" max="16128" width="9.140625" style="919"/>
    <col min="16129" max="16129" width="8.42578125" style="919" customWidth="1"/>
    <col min="16130" max="16130" width="45.42578125" style="919" customWidth="1"/>
    <col min="16131" max="16131" width="7.5703125" style="919" bestFit="1" customWidth="1"/>
    <col min="16132" max="16132" width="0" style="919" hidden="1" customWidth="1"/>
    <col min="16133" max="16133" width="8.7109375" style="919" customWidth="1"/>
    <col min="16134" max="16134" width="11" style="919" customWidth="1"/>
    <col min="16135" max="16135" width="13.5703125" style="919" customWidth="1"/>
    <col min="16136" max="16136" width="13" style="919" customWidth="1"/>
    <col min="16137" max="16384" width="9.140625" style="919"/>
  </cols>
  <sheetData>
    <row r="1" spans="1:12" s="672" customFormat="1" ht="15" x14ac:dyDescent="0.2">
      <c r="A1" s="917" t="s">
        <v>717</v>
      </c>
      <c r="B1" s="917" t="str">
        <f>EE_Belin!A1</f>
        <v>SEAU Belin</v>
      </c>
      <c r="C1" s="918"/>
    </row>
    <row r="2" spans="1:12" s="672" customFormat="1" ht="15" x14ac:dyDescent="0.2">
      <c r="A2" s="917"/>
      <c r="C2" s="918"/>
    </row>
    <row r="3" spans="1:12" ht="15.75" x14ac:dyDescent="0.2">
      <c r="B3" s="920" t="s">
        <v>718</v>
      </c>
      <c r="C3" s="921"/>
      <c r="E3" s="922"/>
      <c r="F3" s="923"/>
      <c r="G3" s="923" t="s">
        <v>719</v>
      </c>
      <c r="H3" s="924"/>
    </row>
    <row r="4" spans="1:12" ht="71.25" customHeight="1" x14ac:dyDescent="0.2">
      <c r="A4" s="925" t="s">
        <v>720</v>
      </c>
      <c r="B4" s="925" t="s">
        <v>338</v>
      </c>
      <c r="C4" s="926" t="s">
        <v>339</v>
      </c>
      <c r="D4" s="927" t="s">
        <v>721</v>
      </c>
      <c r="E4" s="928" t="s">
        <v>722</v>
      </c>
      <c r="F4" s="929" t="s">
        <v>723</v>
      </c>
      <c r="G4" s="929" t="s">
        <v>724</v>
      </c>
      <c r="H4" s="919"/>
      <c r="L4" s="930"/>
    </row>
    <row r="5" spans="1:12" s="934" customFormat="1" ht="15" customHeight="1" x14ac:dyDescent="0.2">
      <c r="A5" s="931"/>
      <c r="B5" s="932" t="s">
        <v>725</v>
      </c>
      <c r="C5" s="933"/>
      <c r="D5" s="933"/>
      <c r="E5" s="933"/>
      <c r="F5" s="933"/>
      <c r="G5" s="933"/>
    </row>
    <row r="6" spans="1:12" s="934" customFormat="1" ht="15" customHeight="1" x14ac:dyDescent="0.2">
      <c r="A6" s="935"/>
      <c r="B6" s="936" t="s">
        <v>620</v>
      </c>
      <c r="C6" s="937"/>
      <c r="D6" s="937"/>
      <c r="E6" s="937"/>
      <c r="F6" s="938"/>
      <c r="G6" s="938"/>
      <c r="H6" s="939">
        <f>SUM(G7:G11)</f>
        <v>30700</v>
      </c>
    </row>
    <row r="7" spans="1:12" s="934" customFormat="1" x14ac:dyDescent="0.2">
      <c r="A7" s="935"/>
      <c r="B7" s="940" t="s">
        <v>726</v>
      </c>
      <c r="C7" s="937">
        <v>1</v>
      </c>
      <c r="D7" s="937"/>
      <c r="E7" s="937"/>
      <c r="F7" s="941">
        <v>12000</v>
      </c>
      <c r="G7" s="941">
        <f>F7*C7</f>
        <v>12000</v>
      </c>
    </row>
    <row r="8" spans="1:12" s="934" customFormat="1" x14ac:dyDescent="0.2">
      <c r="A8" s="935"/>
      <c r="B8" s="940" t="s">
        <v>727</v>
      </c>
      <c r="C8" s="937">
        <v>2</v>
      </c>
      <c r="D8" s="937"/>
      <c r="E8" s="937"/>
      <c r="F8" s="942">
        <v>2000</v>
      </c>
      <c r="G8" s="942">
        <f>F8*C8</f>
        <v>4000</v>
      </c>
    </row>
    <row r="9" spans="1:12" s="934" customFormat="1" x14ac:dyDescent="0.2">
      <c r="A9" s="935"/>
      <c r="B9" s="940" t="s">
        <v>728</v>
      </c>
      <c r="C9" s="937">
        <v>1</v>
      </c>
      <c r="D9" s="937"/>
      <c r="E9" s="937"/>
      <c r="F9" s="942">
        <v>3500</v>
      </c>
      <c r="G9" s="942">
        <f>C9*F9</f>
        <v>3500</v>
      </c>
    </row>
    <row r="10" spans="1:12" s="934" customFormat="1" x14ac:dyDescent="0.2">
      <c r="A10" s="935"/>
      <c r="B10" s="940" t="s">
        <v>729</v>
      </c>
      <c r="C10" s="937">
        <v>2</v>
      </c>
      <c r="D10" s="937"/>
      <c r="E10" s="937"/>
      <c r="F10" s="942">
        <v>600</v>
      </c>
      <c r="G10" s="942">
        <f>F10*C10</f>
        <v>1200</v>
      </c>
    </row>
    <row r="11" spans="1:12" s="934" customFormat="1" ht="15" x14ac:dyDescent="0.25">
      <c r="A11" s="935"/>
      <c r="B11" s="940" t="s">
        <v>730</v>
      </c>
      <c r="C11" s="937">
        <v>1</v>
      </c>
      <c r="D11" s="937"/>
      <c r="E11" s="937"/>
      <c r="F11" s="942">
        <v>10000</v>
      </c>
      <c r="G11" s="942">
        <f>F11*C11</f>
        <v>10000</v>
      </c>
      <c r="I11" s="943" t="s">
        <v>731</v>
      </c>
    </row>
    <row r="12" spans="1:12" s="934" customFormat="1" ht="15" customHeight="1" x14ac:dyDescent="0.2">
      <c r="A12" s="935"/>
      <c r="B12" s="940"/>
      <c r="C12" s="937"/>
      <c r="D12" s="937"/>
      <c r="E12" s="937"/>
      <c r="F12" s="944"/>
      <c r="G12" s="938"/>
      <c r="H12" s="939"/>
    </row>
    <row r="13" spans="1:12" s="934" customFormat="1" ht="15" customHeight="1" x14ac:dyDescent="0.2">
      <c r="A13" s="935"/>
      <c r="B13" s="936" t="s">
        <v>567</v>
      </c>
      <c r="C13" s="937"/>
      <c r="D13" s="937"/>
      <c r="E13" s="937"/>
      <c r="F13" s="944"/>
      <c r="G13" s="938"/>
      <c r="H13" s="939">
        <f>SUM(G14:G16)</f>
        <v>15274</v>
      </c>
    </row>
    <row r="14" spans="1:12" s="934" customFormat="1" x14ac:dyDescent="0.2">
      <c r="A14" s="935"/>
      <c r="B14" s="940" t="s">
        <v>340</v>
      </c>
      <c r="C14" s="937">
        <v>3</v>
      </c>
      <c r="D14" s="937"/>
      <c r="E14" s="937"/>
      <c r="F14" s="945">
        <v>3858</v>
      </c>
      <c r="G14" s="942">
        <f>C14*F14</f>
        <v>11574</v>
      </c>
    </row>
    <row r="15" spans="1:12" s="934" customFormat="1" x14ac:dyDescent="0.2">
      <c r="A15" s="935"/>
      <c r="B15" s="940" t="s">
        <v>732</v>
      </c>
      <c r="C15" s="937">
        <v>1</v>
      </c>
      <c r="D15" s="937"/>
      <c r="E15" s="937"/>
      <c r="F15" s="942">
        <v>1500</v>
      </c>
      <c r="G15" s="942">
        <f>C15*F15</f>
        <v>1500</v>
      </c>
    </row>
    <row r="16" spans="1:12" s="934" customFormat="1" x14ac:dyDescent="0.2">
      <c r="A16" s="935"/>
      <c r="B16" s="940" t="s">
        <v>733</v>
      </c>
      <c r="C16" s="937">
        <v>1</v>
      </c>
      <c r="D16" s="937"/>
      <c r="E16" s="937"/>
      <c r="F16" s="942">
        <v>2200</v>
      </c>
      <c r="G16" s="942">
        <f>C16*F16</f>
        <v>2200</v>
      </c>
    </row>
    <row r="17" spans="1:8" s="934" customFormat="1" ht="15" customHeight="1" x14ac:dyDescent="0.2">
      <c r="A17" s="935"/>
      <c r="B17" s="940"/>
      <c r="C17" s="937"/>
      <c r="D17" s="937"/>
      <c r="E17" s="937"/>
      <c r="F17" s="944"/>
      <c r="G17" s="938"/>
      <c r="H17" s="939"/>
    </row>
    <row r="18" spans="1:8" s="934" customFormat="1" ht="15" customHeight="1" x14ac:dyDescent="0.2">
      <c r="A18" s="935"/>
      <c r="B18" s="936" t="s">
        <v>678</v>
      </c>
      <c r="C18" s="937"/>
      <c r="D18" s="937"/>
      <c r="E18" s="937"/>
      <c r="F18" s="944"/>
      <c r="G18" s="938"/>
      <c r="H18" s="939">
        <f>SUM(G19:G21)</f>
        <v>62712</v>
      </c>
    </row>
    <row r="19" spans="1:8" s="934" customFormat="1" x14ac:dyDescent="0.2">
      <c r="A19" s="935"/>
      <c r="B19" s="940" t="s">
        <v>734</v>
      </c>
      <c r="C19" s="937">
        <v>2</v>
      </c>
      <c r="D19" s="937"/>
      <c r="E19" s="937"/>
      <c r="F19" s="941">
        <f>25000+1535</f>
        <v>26535</v>
      </c>
      <c r="G19" s="941">
        <f>F19*C19+3792</f>
        <v>56862</v>
      </c>
    </row>
    <row r="20" spans="1:8" s="934" customFormat="1" x14ac:dyDescent="0.2">
      <c r="A20" s="935"/>
      <c r="B20" s="940" t="s">
        <v>735</v>
      </c>
      <c r="C20" s="937">
        <v>8</v>
      </c>
      <c r="D20" s="937"/>
      <c r="E20" s="937"/>
      <c r="F20" s="942">
        <f>F10</f>
        <v>600</v>
      </c>
      <c r="G20" s="942">
        <f>F20*C20</f>
        <v>4800</v>
      </c>
    </row>
    <row r="21" spans="1:8" s="934" customFormat="1" x14ac:dyDescent="0.2">
      <c r="A21" s="935"/>
      <c r="B21" s="940" t="s">
        <v>736</v>
      </c>
      <c r="C21" s="937">
        <v>1</v>
      </c>
      <c r="D21" s="937"/>
      <c r="E21" s="937"/>
      <c r="F21" s="942">
        <v>1050</v>
      </c>
      <c r="G21" s="942">
        <f>F21*C21</f>
        <v>1050</v>
      </c>
    </row>
    <row r="22" spans="1:8" s="934" customFormat="1" x14ac:dyDescent="0.2">
      <c r="A22" s="935"/>
      <c r="B22" s="940"/>
      <c r="C22" s="937"/>
      <c r="D22" s="937"/>
      <c r="E22" s="937"/>
      <c r="F22" s="942"/>
      <c r="G22" s="942"/>
    </row>
    <row r="23" spans="1:8" s="934" customFormat="1" ht="15" customHeight="1" x14ac:dyDescent="0.2">
      <c r="A23" s="935"/>
      <c r="B23" s="936" t="s">
        <v>691</v>
      </c>
      <c r="C23" s="937"/>
      <c r="D23" s="937"/>
      <c r="E23" s="937"/>
      <c r="F23" s="944"/>
      <c r="G23" s="938"/>
      <c r="H23" s="939">
        <f>SUM(G24:G26)</f>
        <v>17774</v>
      </c>
    </row>
    <row r="24" spans="1:8" s="934" customFormat="1" x14ac:dyDescent="0.2">
      <c r="A24" s="935"/>
      <c r="B24" s="940" t="s">
        <v>692</v>
      </c>
      <c r="C24" s="937">
        <v>3</v>
      </c>
      <c r="D24" s="937"/>
      <c r="E24" s="937"/>
      <c r="F24" s="945">
        <v>3858</v>
      </c>
      <c r="G24" s="942">
        <f>C24*F24</f>
        <v>11574</v>
      </c>
    </row>
    <row r="25" spans="1:8" s="934" customFormat="1" x14ac:dyDescent="0.2">
      <c r="A25" s="935"/>
      <c r="B25" s="940" t="s">
        <v>737</v>
      </c>
      <c r="C25" s="937">
        <v>1</v>
      </c>
      <c r="D25" s="937"/>
      <c r="E25" s="937"/>
      <c r="F25" s="942">
        <v>700</v>
      </c>
      <c r="G25" s="942">
        <f>F25*C25</f>
        <v>700</v>
      </c>
    </row>
    <row r="26" spans="1:8" s="934" customFormat="1" x14ac:dyDescent="0.2">
      <c r="A26" s="935"/>
      <c r="B26" s="940" t="s">
        <v>397</v>
      </c>
      <c r="C26" s="937">
        <v>1</v>
      </c>
      <c r="D26" s="937"/>
      <c r="E26" s="937"/>
      <c r="F26" s="945">
        <v>5500</v>
      </c>
      <c r="G26" s="942">
        <f>F26*C26</f>
        <v>5500</v>
      </c>
    </row>
    <row r="27" spans="1:8" s="934" customFormat="1" x14ac:dyDescent="0.2">
      <c r="A27" s="935"/>
      <c r="B27" s="940"/>
      <c r="C27" s="937"/>
      <c r="D27" s="937"/>
      <c r="E27" s="937"/>
      <c r="F27" s="942"/>
      <c r="G27" s="942"/>
    </row>
    <row r="28" spans="1:8" s="934" customFormat="1" ht="15" customHeight="1" x14ac:dyDescent="0.2">
      <c r="A28" s="935"/>
      <c r="B28" s="936" t="s">
        <v>693</v>
      </c>
      <c r="C28" s="937"/>
      <c r="D28" s="937"/>
      <c r="E28" s="937"/>
      <c r="F28" s="938"/>
      <c r="G28" s="938"/>
      <c r="H28" s="939">
        <f>SUM(G29:G32)</f>
        <v>85210</v>
      </c>
    </row>
    <row r="29" spans="1:8" s="934" customFormat="1" x14ac:dyDescent="0.2">
      <c r="A29" s="935"/>
      <c r="B29" s="940" t="s">
        <v>738</v>
      </c>
      <c r="C29" s="937">
        <v>2</v>
      </c>
      <c r="D29" s="937"/>
      <c r="E29" s="937"/>
      <c r="F29" s="945">
        <v>10000</v>
      </c>
      <c r="G29" s="942">
        <f>F29*C29</f>
        <v>20000</v>
      </c>
    </row>
    <row r="30" spans="1:8" s="934" customFormat="1" x14ac:dyDescent="0.2">
      <c r="A30" s="935"/>
      <c r="B30" s="940" t="s">
        <v>694</v>
      </c>
      <c r="C30" s="937">
        <v>2</v>
      </c>
      <c r="D30" s="937"/>
      <c r="E30" s="937"/>
      <c r="F30" s="942">
        <v>26200</v>
      </c>
      <c r="G30" s="942">
        <f>F30*C30</f>
        <v>52400</v>
      </c>
    </row>
    <row r="31" spans="1:8" s="934" customFormat="1" x14ac:dyDescent="0.2">
      <c r="A31" s="935"/>
      <c r="B31" s="940" t="s">
        <v>739</v>
      </c>
      <c r="C31" s="937">
        <v>2</v>
      </c>
      <c r="D31" s="937"/>
      <c r="E31" s="937"/>
      <c r="F31" s="942">
        <f>22860/2*0.5</f>
        <v>5715</v>
      </c>
      <c r="G31" s="942">
        <f>C31*F31</f>
        <v>11430</v>
      </c>
    </row>
    <row r="32" spans="1:8" s="934" customFormat="1" x14ac:dyDescent="0.2">
      <c r="A32" s="935"/>
      <c r="B32" s="940" t="s">
        <v>740</v>
      </c>
      <c r="C32" s="937">
        <v>1</v>
      </c>
      <c r="D32" s="937"/>
      <c r="E32" s="937"/>
      <c r="F32" s="942">
        <v>1380</v>
      </c>
      <c r="G32" s="942">
        <f>C32*F32</f>
        <v>1380</v>
      </c>
    </row>
    <row r="33" spans="1:8" s="934" customFormat="1" x14ac:dyDescent="0.2">
      <c r="A33" s="935"/>
      <c r="B33" s="940"/>
      <c r="C33" s="937"/>
      <c r="D33" s="937"/>
      <c r="E33" s="937"/>
      <c r="F33" s="942"/>
      <c r="G33" s="942"/>
    </row>
    <row r="34" spans="1:8" s="934" customFormat="1" x14ac:dyDescent="0.2">
      <c r="A34" s="935"/>
      <c r="B34" s="936" t="s">
        <v>741</v>
      </c>
      <c r="C34" s="937"/>
      <c r="D34" s="937"/>
      <c r="E34" s="937"/>
      <c r="F34" s="942"/>
      <c r="G34" s="942"/>
      <c r="H34" s="939">
        <f>SUM(G35:G37)</f>
        <v>6500</v>
      </c>
    </row>
    <row r="35" spans="1:8" s="934" customFormat="1" x14ac:dyDescent="0.2">
      <c r="A35" s="935"/>
      <c r="B35" s="940" t="s">
        <v>742</v>
      </c>
      <c r="C35" s="937">
        <v>1</v>
      </c>
      <c r="D35" s="937"/>
      <c r="E35" s="937"/>
      <c r="F35" s="942">
        <v>2000</v>
      </c>
      <c r="G35" s="942">
        <f>F35*C35</f>
        <v>2000</v>
      </c>
    </row>
    <row r="36" spans="1:8" s="934" customFormat="1" x14ac:dyDescent="0.2">
      <c r="A36" s="935"/>
      <c r="B36" s="940" t="s">
        <v>743</v>
      </c>
      <c r="C36" s="937">
        <v>2</v>
      </c>
      <c r="D36" s="937"/>
      <c r="E36" s="937"/>
      <c r="F36" s="942">
        <v>1500</v>
      </c>
      <c r="G36" s="942">
        <f>C36*F36</f>
        <v>3000</v>
      </c>
    </row>
    <row r="37" spans="1:8" s="934" customFormat="1" x14ac:dyDescent="0.2">
      <c r="A37" s="935"/>
      <c r="B37" s="940" t="s">
        <v>744</v>
      </c>
      <c r="C37" s="937">
        <v>1</v>
      </c>
      <c r="D37" s="937"/>
      <c r="E37" s="937"/>
      <c r="F37" s="942">
        <v>1500</v>
      </c>
      <c r="G37" s="942">
        <f>F37*C37</f>
        <v>1500</v>
      </c>
    </row>
    <row r="38" spans="1:8" s="934" customFormat="1" x14ac:dyDescent="0.2">
      <c r="A38" s="935"/>
      <c r="B38" s="940"/>
      <c r="C38" s="937"/>
      <c r="D38" s="937"/>
      <c r="E38" s="937"/>
      <c r="F38" s="942"/>
      <c r="G38" s="942"/>
    </row>
    <row r="39" spans="1:8" s="934" customFormat="1" ht="15" customHeight="1" x14ac:dyDescent="0.2">
      <c r="A39" s="935"/>
      <c r="B39" s="936" t="s">
        <v>568</v>
      </c>
      <c r="C39" s="937"/>
      <c r="D39" s="937"/>
      <c r="E39" s="937"/>
      <c r="F39" s="938"/>
      <c r="G39" s="938"/>
      <c r="H39" s="939">
        <f>SUM(G40)</f>
        <v>5000</v>
      </c>
    </row>
    <row r="40" spans="1:8" s="934" customFormat="1" x14ac:dyDescent="0.2">
      <c r="A40" s="935"/>
      <c r="B40" s="940" t="s">
        <v>745</v>
      </c>
      <c r="C40" s="946">
        <v>1</v>
      </c>
      <c r="D40" s="946"/>
      <c r="E40" s="946"/>
      <c r="F40" s="947">
        <v>5000</v>
      </c>
      <c r="G40" s="947">
        <f>C40*F40</f>
        <v>5000</v>
      </c>
    </row>
    <row r="41" spans="1:8" s="934" customFormat="1" x14ac:dyDescent="0.2">
      <c r="A41" s="935"/>
      <c r="B41" s="940"/>
      <c r="C41" s="937"/>
      <c r="D41" s="937"/>
      <c r="E41" s="937"/>
      <c r="F41" s="942"/>
      <c r="G41" s="942"/>
    </row>
    <row r="42" spans="1:8" s="934" customFormat="1" x14ac:dyDescent="0.2">
      <c r="A42" s="935"/>
      <c r="B42" s="936" t="s">
        <v>746</v>
      </c>
      <c r="C42" s="937"/>
      <c r="D42" s="937"/>
      <c r="E42" s="937"/>
      <c r="F42" s="942"/>
      <c r="G42" s="942"/>
      <c r="H42" s="939">
        <f>G43+G44</f>
        <v>17490</v>
      </c>
    </row>
    <row r="43" spans="1:8" s="934" customFormat="1" x14ac:dyDescent="0.2">
      <c r="A43" s="935"/>
      <c r="B43" s="940" t="s">
        <v>695</v>
      </c>
      <c r="C43" s="937">
        <v>3</v>
      </c>
      <c r="D43" s="937"/>
      <c r="E43" s="937"/>
      <c r="F43" s="947">
        <v>5130</v>
      </c>
      <c r="G43" s="942">
        <f>C43*F43</f>
        <v>15390</v>
      </c>
    </row>
    <row r="44" spans="1:8" s="934" customFormat="1" x14ac:dyDescent="0.2">
      <c r="A44" s="935"/>
      <c r="B44" s="940" t="s">
        <v>747</v>
      </c>
      <c r="C44" s="937">
        <v>3</v>
      </c>
      <c r="D44" s="937"/>
      <c r="E44" s="937"/>
      <c r="F44" s="942">
        <v>700</v>
      </c>
      <c r="G44" s="942">
        <f>C44*F44</f>
        <v>2100</v>
      </c>
    </row>
    <row r="45" spans="1:8" s="934" customFormat="1" x14ac:dyDescent="0.2">
      <c r="A45" s="935"/>
      <c r="B45" s="940"/>
      <c r="C45" s="937"/>
      <c r="D45" s="937"/>
      <c r="E45" s="937"/>
      <c r="F45" s="942"/>
      <c r="G45" s="942"/>
    </row>
    <row r="46" spans="1:8" s="934" customFormat="1" ht="15" customHeight="1" x14ac:dyDescent="0.2">
      <c r="A46" s="935"/>
      <c r="B46" s="936" t="s">
        <v>634</v>
      </c>
      <c r="C46" s="937"/>
      <c r="D46" s="937"/>
      <c r="E46" s="937"/>
      <c r="F46" s="944"/>
      <c r="G46" s="938"/>
      <c r="H46" s="939">
        <f>SUM(G47:G51)</f>
        <v>36311</v>
      </c>
    </row>
    <row r="47" spans="1:8" s="934" customFormat="1" x14ac:dyDescent="0.2">
      <c r="A47" s="935"/>
      <c r="B47" s="940" t="s">
        <v>701</v>
      </c>
      <c r="C47" s="937">
        <v>2</v>
      </c>
      <c r="D47" s="937"/>
      <c r="E47" s="937"/>
      <c r="F47" s="942">
        <f>1950+220+630</f>
        <v>2800</v>
      </c>
      <c r="G47" s="942">
        <f>C47*F47</f>
        <v>5600</v>
      </c>
    </row>
    <row r="48" spans="1:8" s="934" customFormat="1" x14ac:dyDescent="0.2">
      <c r="A48" s="935"/>
      <c r="B48" s="940" t="s">
        <v>748</v>
      </c>
      <c r="C48" s="937">
        <v>1</v>
      </c>
      <c r="D48" s="937"/>
      <c r="E48" s="937"/>
      <c r="F48" s="942">
        <v>700</v>
      </c>
      <c r="G48" s="942">
        <f>F48*C48</f>
        <v>700</v>
      </c>
    </row>
    <row r="49" spans="1:8" s="934" customFormat="1" x14ac:dyDescent="0.2">
      <c r="A49" s="935"/>
      <c r="B49" s="940" t="s">
        <v>702</v>
      </c>
      <c r="C49" s="937">
        <v>1</v>
      </c>
      <c r="D49" s="937"/>
      <c r="E49" s="937"/>
      <c r="F49" s="941">
        <v>11735</v>
      </c>
      <c r="G49" s="941">
        <f>C49*F49+2076</f>
        <v>13811</v>
      </c>
    </row>
    <row r="50" spans="1:8" s="934" customFormat="1" x14ac:dyDescent="0.2">
      <c r="A50" s="935"/>
      <c r="B50" s="940" t="s">
        <v>749</v>
      </c>
      <c r="C50" s="937">
        <v>1</v>
      </c>
      <c r="D50" s="937"/>
      <c r="E50" s="937"/>
      <c r="F50" s="941">
        <f>308+7892</f>
        <v>8200</v>
      </c>
      <c r="G50" s="941">
        <f>C50*F50</f>
        <v>8200</v>
      </c>
    </row>
    <row r="51" spans="1:8" s="934" customFormat="1" x14ac:dyDescent="0.2">
      <c r="A51" s="935"/>
      <c r="B51" s="940" t="s">
        <v>703</v>
      </c>
      <c r="C51" s="937">
        <v>2</v>
      </c>
      <c r="D51" s="937"/>
      <c r="E51" s="937"/>
      <c r="F51" s="942">
        <v>4000</v>
      </c>
      <c r="G51" s="942">
        <f>C51*F51</f>
        <v>8000</v>
      </c>
    </row>
    <row r="52" spans="1:8" s="934" customFormat="1" x14ac:dyDescent="0.2">
      <c r="A52" s="935"/>
      <c r="B52" s="940"/>
      <c r="C52" s="937"/>
      <c r="D52" s="937"/>
      <c r="E52" s="937"/>
      <c r="F52" s="942"/>
      <c r="G52" s="942"/>
    </row>
    <row r="53" spans="1:8" s="934" customFormat="1" x14ac:dyDescent="0.2">
      <c r="A53" s="935"/>
      <c r="B53" s="936" t="s">
        <v>704</v>
      </c>
      <c r="C53" s="937"/>
      <c r="D53" s="937"/>
      <c r="E53" s="937"/>
      <c r="F53" s="944"/>
      <c r="G53" s="938"/>
      <c r="H53" s="939">
        <f>SUM(G54:G62)</f>
        <v>43690</v>
      </c>
    </row>
    <row r="54" spans="1:8" s="934" customFormat="1" x14ac:dyDescent="0.2">
      <c r="A54" s="935"/>
      <c r="B54" s="940" t="s">
        <v>341</v>
      </c>
      <c r="C54" s="937">
        <v>1</v>
      </c>
      <c r="D54" s="937"/>
      <c r="E54" s="937"/>
      <c r="F54" s="942">
        <v>1260</v>
      </c>
      <c r="G54" s="942">
        <f>C54*F54</f>
        <v>1260</v>
      </c>
    </row>
    <row r="55" spans="1:8" s="934" customFormat="1" x14ac:dyDescent="0.2">
      <c r="A55" s="935"/>
      <c r="B55" s="940" t="s">
        <v>750</v>
      </c>
      <c r="C55" s="937">
        <v>1</v>
      </c>
      <c r="D55" s="937"/>
      <c r="E55" s="937"/>
      <c r="F55" s="942">
        <v>3600</v>
      </c>
      <c r="G55" s="942">
        <f>F55*C55</f>
        <v>3600</v>
      </c>
    </row>
    <row r="56" spans="1:8" s="934" customFormat="1" x14ac:dyDescent="0.2">
      <c r="A56" s="935"/>
      <c r="B56" s="940" t="s">
        <v>706</v>
      </c>
      <c r="C56" s="937">
        <v>2</v>
      </c>
      <c r="D56" s="937"/>
      <c r="E56" s="937"/>
      <c r="F56" s="942">
        <v>4000</v>
      </c>
      <c r="G56" s="942">
        <f t="shared" ref="G56:G62" si="0">C56*F56</f>
        <v>8000</v>
      </c>
    </row>
    <row r="57" spans="1:8" s="934" customFormat="1" x14ac:dyDescent="0.2">
      <c r="A57" s="935"/>
      <c r="B57" s="940" t="s">
        <v>751</v>
      </c>
      <c r="C57" s="937">
        <v>1</v>
      </c>
      <c r="D57" s="937"/>
      <c r="E57" s="937"/>
      <c r="F57" s="942">
        <f>19180+2200</f>
        <v>21380</v>
      </c>
      <c r="G57" s="942">
        <f t="shared" si="0"/>
        <v>21380</v>
      </c>
    </row>
    <row r="58" spans="1:8" s="934" customFormat="1" x14ac:dyDescent="0.2">
      <c r="A58" s="935"/>
      <c r="B58" s="940" t="s">
        <v>708</v>
      </c>
      <c r="C58" s="937">
        <v>1</v>
      </c>
      <c r="D58" s="937"/>
      <c r="E58" s="937"/>
      <c r="F58" s="942">
        <v>4700</v>
      </c>
      <c r="G58" s="942">
        <f t="shared" si="0"/>
        <v>4700</v>
      </c>
    </row>
    <row r="59" spans="1:8" s="934" customFormat="1" x14ac:dyDescent="0.2">
      <c r="A59" s="935"/>
      <c r="B59" s="940" t="s">
        <v>752</v>
      </c>
      <c r="C59" s="937">
        <v>2</v>
      </c>
      <c r="D59" s="937"/>
      <c r="E59" s="937"/>
      <c r="F59" s="942">
        <v>1000</v>
      </c>
      <c r="G59" s="942">
        <f t="shared" si="0"/>
        <v>2000</v>
      </c>
    </row>
    <row r="60" spans="1:8" s="934" customFormat="1" x14ac:dyDescent="0.2">
      <c r="A60" s="935"/>
      <c r="B60" s="940" t="s">
        <v>753</v>
      </c>
      <c r="C60" s="937">
        <v>1</v>
      </c>
      <c r="D60" s="937"/>
      <c r="E60" s="937"/>
      <c r="F60" s="942">
        <v>700</v>
      </c>
      <c r="G60" s="942">
        <f t="shared" si="0"/>
        <v>700</v>
      </c>
    </row>
    <row r="61" spans="1:8" s="934" customFormat="1" x14ac:dyDescent="0.2">
      <c r="A61" s="935"/>
      <c r="B61" s="940" t="s">
        <v>736</v>
      </c>
      <c r="C61" s="937">
        <v>1</v>
      </c>
      <c r="D61" s="937"/>
      <c r="E61" s="937"/>
      <c r="F61" s="942">
        <v>1050</v>
      </c>
      <c r="G61" s="942">
        <f t="shared" si="0"/>
        <v>1050</v>
      </c>
    </row>
    <row r="62" spans="1:8" s="934" customFormat="1" x14ac:dyDescent="0.2">
      <c r="A62" s="935"/>
      <c r="B62" s="940" t="s">
        <v>754</v>
      </c>
      <c r="C62" s="937">
        <v>1</v>
      </c>
      <c r="D62" s="937"/>
      <c r="E62" s="937"/>
      <c r="F62" s="942">
        <v>1000</v>
      </c>
      <c r="G62" s="942">
        <f t="shared" si="0"/>
        <v>1000</v>
      </c>
    </row>
    <row r="63" spans="1:8" s="934" customFormat="1" x14ac:dyDescent="0.2">
      <c r="A63" s="935"/>
      <c r="B63" s="940"/>
      <c r="C63" s="937"/>
      <c r="D63" s="937"/>
      <c r="E63" s="937"/>
      <c r="F63" s="942"/>
      <c r="G63" s="942"/>
    </row>
    <row r="64" spans="1:8" s="934" customFormat="1" x14ac:dyDescent="0.2">
      <c r="A64" s="935"/>
      <c r="B64" s="936" t="s">
        <v>709</v>
      </c>
      <c r="C64" s="937"/>
      <c r="D64" s="937"/>
      <c r="E64" s="937"/>
      <c r="F64" s="944"/>
      <c r="G64" s="938"/>
      <c r="H64" s="939">
        <f>SUM(G65:G66)</f>
        <v>6450</v>
      </c>
    </row>
    <row r="65" spans="1:9" s="934" customFormat="1" x14ac:dyDescent="0.2">
      <c r="A65" s="935"/>
      <c r="B65" s="940" t="s">
        <v>710</v>
      </c>
      <c r="C65" s="937">
        <v>1</v>
      </c>
      <c r="D65" s="937"/>
      <c r="E65" s="937"/>
      <c r="F65" s="942">
        <v>4450</v>
      </c>
      <c r="G65" s="942">
        <f>C65*F65</f>
        <v>4450</v>
      </c>
    </row>
    <row r="66" spans="1:9" s="934" customFormat="1" x14ac:dyDescent="0.2">
      <c r="A66" s="935"/>
      <c r="B66" s="940" t="s">
        <v>755</v>
      </c>
      <c r="C66" s="937">
        <v>2</v>
      </c>
      <c r="D66" s="937"/>
      <c r="E66" s="937"/>
      <c r="F66" s="942">
        <v>1000</v>
      </c>
      <c r="G66" s="942">
        <f>C66*F66</f>
        <v>2000</v>
      </c>
    </row>
    <row r="67" spans="1:9" s="934" customFormat="1" x14ac:dyDescent="0.2">
      <c r="A67" s="935"/>
      <c r="B67" s="940"/>
      <c r="C67" s="937"/>
      <c r="D67" s="937"/>
      <c r="E67" s="937"/>
      <c r="F67" s="942"/>
      <c r="G67" s="942"/>
    </row>
    <row r="68" spans="1:9" s="934" customFormat="1" x14ac:dyDescent="0.2">
      <c r="A68" s="935"/>
      <c r="B68" s="936" t="s">
        <v>641</v>
      </c>
      <c r="C68" s="937"/>
      <c r="D68" s="937"/>
      <c r="E68" s="937"/>
      <c r="F68" s="944"/>
      <c r="G68" s="938"/>
      <c r="H68" s="939">
        <f>SUM(G69:G70)</f>
        <v>5252</v>
      </c>
    </row>
    <row r="69" spans="1:9" s="934" customFormat="1" x14ac:dyDescent="0.2">
      <c r="A69" s="935"/>
      <c r="B69" s="940" t="s">
        <v>756</v>
      </c>
      <c r="C69" s="937">
        <v>2</v>
      </c>
      <c r="D69" s="937"/>
      <c r="E69" s="937"/>
      <c r="F69" s="947">
        <v>1876</v>
      </c>
      <c r="G69" s="942">
        <f>F69*C69</f>
        <v>3752</v>
      </c>
    </row>
    <row r="70" spans="1:9" s="934" customFormat="1" x14ac:dyDescent="0.2">
      <c r="A70" s="935"/>
      <c r="B70" s="940" t="s">
        <v>757</v>
      </c>
      <c r="C70" s="937">
        <v>1</v>
      </c>
      <c r="D70" s="937"/>
      <c r="E70" s="937"/>
      <c r="F70" s="942">
        <v>1500</v>
      </c>
      <c r="G70" s="942">
        <f>C70*F70</f>
        <v>1500</v>
      </c>
    </row>
    <row r="71" spans="1:9" s="934" customFormat="1" x14ac:dyDescent="0.2">
      <c r="A71" s="935"/>
      <c r="B71" s="940"/>
      <c r="C71" s="937"/>
      <c r="D71" s="937"/>
      <c r="E71" s="937"/>
      <c r="F71" s="942"/>
      <c r="G71" s="942"/>
    </row>
    <row r="72" spans="1:9" s="934" customFormat="1" x14ac:dyDescent="0.2">
      <c r="A72" s="935"/>
      <c r="B72" s="936" t="s">
        <v>643</v>
      </c>
      <c r="C72" s="937"/>
      <c r="D72" s="937"/>
      <c r="E72" s="937"/>
      <c r="F72" s="944"/>
      <c r="G72" s="938"/>
      <c r="H72" s="939">
        <f>SUM(G73:G74)</f>
        <v>2400</v>
      </c>
    </row>
    <row r="73" spans="1:9" s="934" customFormat="1" x14ac:dyDescent="0.2">
      <c r="A73" s="935"/>
      <c r="B73" s="940" t="s">
        <v>758</v>
      </c>
      <c r="C73" s="937">
        <v>1</v>
      </c>
      <c r="D73" s="937"/>
      <c r="E73" s="937"/>
      <c r="F73" s="938">
        <v>2300</v>
      </c>
      <c r="G73" s="938">
        <f>F73*C73</f>
        <v>2300</v>
      </c>
    </row>
    <row r="74" spans="1:9" s="934" customFormat="1" x14ac:dyDescent="0.2">
      <c r="A74" s="935"/>
      <c r="B74" s="940" t="s">
        <v>759</v>
      </c>
      <c r="C74" s="937">
        <v>1</v>
      </c>
      <c r="D74" s="937"/>
      <c r="E74" s="937"/>
      <c r="F74" s="938">
        <v>100</v>
      </c>
      <c r="G74" s="938">
        <f>F74*C74</f>
        <v>100</v>
      </c>
    </row>
    <row r="75" spans="1:9" s="934" customFormat="1" x14ac:dyDescent="0.2">
      <c r="A75" s="935"/>
      <c r="B75" s="940"/>
      <c r="C75" s="937"/>
      <c r="D75" s="937"/>
      <c r="E75" s="937"/>
      <c r="F75" s="938"/>
      <c r="G75" s="938"/>
    </row>
    <row r="76" spans="1:9" s="934" customFormat="1" x14ac:dyDescent="0.2">
      <c r="A76" s="935"/>
      <c r="B76" s="948" t="s">
        <v>760</v>
      </c>
      <c r="C76" s="937"/>
      <c r="D76" s="937"/>
      <c r="E76" s="937"/>
      <c r="F76" s="949"/>
      <c r="G76" s="938"/>
      <c r="H76" s="939">
        <f>G77+G78</f>
        <v>5870</v>
      </c>
    </row>
    <row r="77" spans="1:9" s="934" customFormat="1" x14ac:dyDescent="0.2">
      <c r="A77" s="935"/>
      <c r="B77" s="950" t="s">
        <v>761</v>
      </c>
      <c r="C77" s="937">
        <v>1</v>
      </c>
      <c r="D77" s="937"/>
      <c r="E77" s="937"/>
      <c r="F77" s="938">
        <v>870</v>
      </c>
      <c r="G77" s="938">
        <f>F77*C77</f>
        <v>870</v>
      </c>
      <c r="I77" s="951" t="s">
        <v>762</v>
      </c>
    </row>
    <row r="78" spans="1:9" s="934" customFormat="1" x14ac:dyDescent="0.2">
      <c r="A78" s="935"/>
      <c r="B78" s="950" t="s">
        <v>645</v>
      </c>
      <c r="C78" s="937">
        <v>2</v>
      </c>
      <c r="D78" s="937"/>
      <c r="E78" s="937"/>
      <c r="F78" s="938">
        <v>2500</v>
      </c>
      <c r="G78" s="938">
        <f>C78*F78</f>
        <v>5000</v>
      </c>
    </row>
    <row r="79" spans="1:9" s="934" customFormat="1" x14ac:dyDescent="0.2">
      <c r="A79" s="935"/>
      <c r="B79" s="950"/>
      <c r="C79" s="937"/>
      <c r="D79" s="937"/>
      <c r="E79" s="937"/>
      <c r="F79" s="938"/>
      <c r="G79" s="938"/>
    </row>
    <row r="80" spans="1:9" s="934" customFormat="1" x14ac:dyDescent="0.2">
      <c r="A80" s="935"/>
      <c r="B80" s="948" t="s">
        <v>763</v>
      </c>
      <c r="C80" s="937"/>
      <c r="D80" s="937"/>
      <c r="E80" s="937"/>
      <c r="F80" s="949"/>
      <c r="G80" s="938"/>
      <c r="H80" s="939">
        <f>G81</f>
        <v>5000</v>
      </c>
    </row>
    <row r="81" spans="1:9" s="934" customFormat="1" x14ac:dyDescent="0.2">
      <c r="A81" s="935"/>
      <c r="B81" s="950" t="s">
        <v>764</v>
      </c>
      <c r="C81" s="937">
        <v>1</v>
      </c>
      <c r="D81" s="937"/>
      <c r="E81" s="937"/>
      <c r="F81" s="938">
        <v>5000</v>
      </c>
      <c r="G81" s="938">
        <f>C81*F81</f>
        <v>5000</v>
      </c>
      <c r="I81" s="951"/>
    </row>
    <row r="82" spans="1:9" s="934" customFormat="1" x14ac:dyDescent="0.2">
      <c r="A82" s="935"/>
      <c r="B82" s="940"/>
      <c r="C82" s="937"/>
      <c r="D82" s="937"/>
      <c r="E82" s="937"/>
      <c r="F82" s="938"/>
      <c r="G82" s="938"/>
    </row>
    <row r="83" spans="1:9" s="934" customFormat="1" x14ac:dyDescent="0.2">
      <c r="A83" s="935"/>
      <c r="B83" s="948" t="s">
        <v>765</v>
      </c>
      <c r="C83" s="937"/>
      <c r="D83" s="937"/>
      <c r="E83" s="937"/>
      <c r="F83" s="949"/>
      <c r="G83" s="938"/>
      <c r="H83" s="939">
        <f>SUM(G84)</f>
        <v>0</v>
      </c>
    </row>
    <row r="84" spans="1:9" s="934" customFormat="1" x14ac:dyDescent="0.2">
      <c r="A84" s="935"/>
      <c r="B84" s="950" t="s">
        <v>765</v>
      </c>
      <c r="C84" s="937">
        <v>1</v>
      </c>
      <c r="D84" s="937"/>
      <c r="E84" s="937"/>
      <c r="F84" s="938">
        <v>0</v>
      </c>
      <c r="G84" s="938">
        <f>C84*F84</f>
        <v>0</v>
      </c>
    </row>
    <row r="85" spans="1:9" s="934" customFormat="1" x14ac:dyDescent="0.2">
      <c r="A85" s="935"/>
      <c r="B85" s="940"/>
      <c r="C85" s="937"/>
      <c r="D85" s="937"/>
      <c r="E85" s="937"/>
      <c r="F85" s="938"/>
      <c r="G85" s="938"/>
    </row>
    <row r="86" spans="1:9" ht="15" customHeight="1" thickBot="1" x14ac:dyDescent="0.25">
      <c r="B86" s="919"/>
      <c r="F86" s="952"/>
      <c r="G86" s="952"/>
    </row>
    <row r="87" spans="1:9" ht="15" customHeight="1" thickBot="1" x14ac:dyDescent="0.25">
      <c r="B87" s="919"/>
      <c r="C87" s="953"/>
      <c r="D87" s="954"/>
      <c r="E87" s="955" t="s">
        <v>766</v>
      </c>
      <c r="F87" s="956"/>
      <c r="G87" s="956">
        <f>SUM(G7:G85)</f>
        <v>345633</v>
      </c>
      <c r="H87" s="957"/>
    </row>
    <row r="88" spans="1:9" ht="15" customHeight="1" thickBot="1" x14ac:dyDescent="0.25">
      <c r="B88" s="919"/>
      <c r="D88" s="958"/>
      <c r="F88" s="959"/>
      <c r="G88" s="959">
        <f>G87*H3</f>
        <v>0</v>
      </c>
    </row>
    <row r="89" spans="1:9" ht="15" customHeight="1" x14ac:dyDescent="0.2">
      <c r="B89" s="919"/>
      <c r="D89" s="958"/>
    </row>
    <row r="90" spans="1:9" ht="15" customHeight="1" x14ac:dyDescent="0.2">
      <c r="B90" s="919"/>
      <c r="D90" s="958"/>
    </row>
    <row r="91" spans="1:9" ht="15" customHeight="1" x14ac:dyDescent="0.2">
      <c r="B91" s="919"/>
      <c r="D91" s="958"/>
    </row>
    <row r="92" spans="1:9" ht="15" customHeight="1" x14ac:dyDescent="0.2">
      <c r="B92" s="919"/>
    </row>
    <row r="93" spans="1:9" ht="15" customHeight="1" x14ac:dyDescent="0.2">
      <c r="B93" s="919"/>
    </row>
    <row r="94" spans="1:9" ht="15" customHeight="1" x14ac:dyDescent="0.2">
      <c r="B94" s="919"/>
    </row>
    <row r="95" spans="1:9" ht="15" customHeight="1" x14ac:dyDescent="0.2">
      <c r="B95" s="919"/>
    </row>
    <row r="96" spans="1:9" ht="15" customHeight="1" x14ac:dyDescent="0.2">
      <c r="B96" s="919"/>
    </row>
    <row r="97" spans="2:2" ht="15" customHeight="1" x14ac:dyDescent="0.2">
      <c r="B97" s="919"/>
    </row>
    <row r="98" spans="2:2" ht="15" customHeight="1" x14ac:dyDescent="0.2">
      <c r="B98" s="919"/>
    </row>
  </sheetData>
  <pageMargins left="0.7" right="0.7" top="0.75" bottom="0.75" header="0.3" footer="0.3"/>
  <pageSetup paperSize="9" scale="81" orientation="portrait" r:id="rId1"/>
  <colBreaks count="1" manualBreakCount="1">
    <brk id="8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192B-1774-49C6-BD01-CCE2C078DEF7}">
  <sheetPr>
    <tabColor theme="5" tint="0.59999389629810485"/>
  </sheetPr>
  <dimension ref="A1:Q29"/>
  <sheetViews>
    <sheetView view="pageBreakPreview" zoomScaleNormal="100" zoomScaleSheetLayoutView="100" workbookViewId="0">
      <selection activeCell="R15" sqref="R15"/>
    </sheetView>
  </sheetViews>
  <sheetFormatPr defaultRowHeight="15" x14ac:dyDescent="0.25"/>
  <cols>
    <col min="1" max="1" width="18.28515625" style="881" customWidth="1"/>
    <col min="2" max="2" width="4.5703125" style="881" customWidth="1"/>
    <col min="3" max="3" width="8.7109375" style="881" customWidth="1"/>
    <col min="4" max="4" width="12.140625" style="881" customWidth="1"/>
    <col min="5" max="5" width="8.85546875" style="994" customWidth="1"/>
    <col min="6" max="11" width="9.140625" style="881"/>
    <col min="12" max="17" width="9.140625" style="602"/>
    <col min="18" max="262" width="9.140625" style="881"/>
    <col min="263" max="263" width="18.28515625" style="881" customWidth="1"/>
    <col min="264" max="264" width="4.5703125" style="881" customWidth="1"/>
    <col min="265" max="265" width="8.7109375" style="881" customWidth="1"/>
    <col min="266" max="266" width="12.140625" style="881" customWidth="1"/>
    <col min="267" max="267" width="8.85546875" style="881" customWidth="1"/>
    <col min="268" max="518" width="9.140625" style="881"/>
    <col min="519" max="519" width="18.28515625" style="881" customWidth="1"/>
    <col min="520" max="520" width="4.5703125" style="881" customWidth="1"/>
    <col min="521" max="521" width="8.7109375" style="881" customWidth="1"/>
    <col min="522" max="522" width="12.140625" style="881" customWidth="1"/>
    <col min="523" max="523" width="8.85546875" style="881" customWidth="1"/>
    <col min="524" max="774" width="9.140625" style="881"/>
    <col min="775" max="775" width="18.28515625" style="881" customWidth="1"/>
    <col min="776" max="776" width="4.5703125" style="881" customWidth="1"/>
    <col min="777" max="777" width="8.7109375" style="881" customWidth="1"/>
    <col min="778" max="778" width="12.140625" style="881" customWidth="1"/>
    <col min="779" max="779" width="8.85546875" style="881" customWidth="1"/>
    <col min="780" max="1030" width="9.140625" style="881"/>
    <col min="1031" max="1031" width="18.28515625" style="881" customWidth="1"/>
    <col min="1032" max="1032" width="4.5703125" style="881" customWidth="1"/>
    <col min="1033" max="1033" width="8.7109375" style="881" customWidth="1"/>
    <col min="1034" max="1034" width="12.140625" style="881" customWidth="1"/>
    <col min="1035" max="1035" width="8.85546875" style="881" customWidth="1"/>
    <col min="1036" max="1286" width="9.140625" style="881"/>
    <col min="1287" max="1287" width="18.28515625" style="881" customWidth="1"/>
    <col min="1288" max="1288" width="4.5703125" style="881" customWidth="1"/>
    <col min="1289" max="1289" width="8.7109375" style="881" customWidth="1"/>
    <col min="1290" max="1290" width="12.140625" style="881" customWidth="1"/>
    <col min="1291" max="1291" width="8.85546875" style="881" customWidth="1"/>
    <col min="1292" max="1542" width="9.140625" style="881"/>
    <col min="1543" max="1543" width="18.28515625" style="881" customWidth="1"/>
    <col min="1544" max="1544" width="4.5703125" style="881" customWidth="1"/>
    <col min="1545" max="1545" width="8.7109375" style="881" customWidth="1"/>
    <col min="1546" max="1546" width="12.140625" style="881" customWidth="1"/>
    <col min="1547" max="1547" width="8.85546875" style="881" customWidth="1"/>
    <col min="1548" max="1798" width="9.140625" style="881"/>
    <col min="1799" max="1799" width="18.28515625" style="881" customWidth="1"/>
    <col min="1800" max="1800" width="4.5703125" style="881" customWidth="1"/>
    <col min="1801" max="1801" width="8.7109375" style="881" customWidth="1"/>
    <col min="1802" max="1802" width="12.140625" style="881" customWidth="1"/>
    <col min="1803" max="1803" width="8.85546875" style="881" customWidth="1"/>
    <col min="1804" max="2054" width="9.140625" style="881"/>
    <col min="2055" max="2055" width="18.28515625" style="881" customWidth="1"/>
    <col min="2056" max="2056" width="4.5703125" style="881" customWidth="1"/>
    <col min="2057" max="2057" width="8.7109375" style="881" customWidth="1"/>
    <col min="2058" max="2058" width="12.140625" style="881" customWidth="1"/>
    <col min="2059" max="2059" width="8.85546875" style="881" customWidth="1"/>
    <col min="2060" max="2310" width="9.140625" style="881"/>
    <col min="2311" max="2311" width="18.28515625" style="881" customWidth="1"/>
    <col min="2312" max="2312" width="4.5703125" style="881" customWidth="1"/>
    <col min="2313" max="2313" width="8.7109375" style="881" customWidth="1"/>
    <col min="2314" max="2314" width="12.140625" style="881" customWidth="1"/>
    <col min="2315" max="2315" width="8.85546875" style="881" customWidth="1"/>
    <col min="2316" max="2566" width="9.140625" style="881"/>
    <col min="2567" max="2567" width="18.28515625" style="881" customWidth="1"/>
    <col min="2568" max="2568" width="4.5703125" style="881" customWidth="1"/>
    <col min="2569" max="2569" width="8.7109375" style="881" customWidth="1"/>
    <col min="2570" max="2570" width="12.140625" style="881" customWidth="1"/>
    <col min="2571" max="2571" width="8.85546875" style="881" customWidth="1"/>
    <col min="2572" max="2822" width="9.140625" style="881"/>
    <col min="2823" max="2823" width="18.28515625" style="881" customWidth="1"/>
    <col min="2824" max="2824" width="4.5703125" style="881" customWidth="1"/>
    <col min="2825" max="2825" width="8.7109375" style="881" customWidth="1"/>
    <col min="2826" max="2826" width="12.140625" style="881" customWidth="1"/>
    <col min="2827" max="2827" width="8.85546875" style="881" customWidth="1"/>
    <col min="2828" max="3078" width="9.140625" style="881"/>
    <col min="3079" max="3079" width="18.28515625" style="881" customWidth="1"/>
    <col min="3080" max="3080" width="4.5703125" style="881" customWidth="1"/>
    <col min="3081" max="3081" width="8.7109375" style="881" customWidth="1"/>
    <col min="3082" max="3082" width="12.140625" style="881" customWidth="1"/>
    <col min="3083" max="3083" width="8.85546875" style="881" customWidth="1"/>
    <col min="3084" max="3334" width="9.140625" style="881"/>
    <col min="3335" max="3335" width="18.28515625" style="881" customWidth="1"/>
    <col min="3336" max="3336" width="4.5703125" style="881" customWidth="1"/>
    <col min="3337" max="3337" width="8.7109375" style="881" customWidth="1"/>
    <col min="3338" max="3338" width="12.140625" style="881" customWidth="1"/>
    <col min="3339" max="3339" width="8.85546875" style="881" customWidth="1"/>
    <col min="3340" max="3590" width="9.140625" style="881"/>
    <col min="3591" max="3591" width="18.28515625" style="881" customWidth="1"/>
    <col min="3592" max="3592" width="4.5703125" style="881" customWidth="1"/>
    <col min="3593" max="3593" width="8.7109375" style="881" customWidth="1"/>
    <col min="3594" max="3594" width="12.140625" style="881" customWidth="1"/>
    <col min="3595" max="3595" width="8.85546875" style="881" customWidth="1"/>
    <col min="3596" max="3846" width="9.140625" style="881"/>
    <col min="3847" max="3847" width="18.28515625" style="881" customWidth="1"/>
    <col min="3848" max="3848" width="4.5703125" style="881" customWidth="1"/>
    <col min="3849" max="3849" width="8.7109375" style="881" customWidth="1"/>
    <col min="3850" max="3850" width="12.140625" style="881" customWidth="1"/>
    <col min="3851" max="3851" width="8.85546875" style="881" customWidth="1"/>
    <col min="3852" max="4102" width="9.140625" style="881"/>
    <col min="4103" max="4103" width="18.28515625" style="881" customWidth="1"/>
    <col min="4104" max="4104" width="4.5703125" style="881" customWidth="1"/>
    <col min="4105" max="4105" width="8.7109375" style="881" customWidth="1"/>
    <col min="4106" max="4106" width="12.140625" style="881" customWidth="1"/>
    <col min="4107" max="4107" width="8.85546875" style="881" customWidth="1"/>
    <col min="4108" max="4358" width="9.140625" style="881"/>
    <col min="4359" max="4359" width="18.28515625" style="881" customWidth="1"/>
    <col min="4360" max="4360" width="4.5703125" style="881" customWidth="1"/>
    <col min="4361" max="4361" width="8.7109375" style="881" customWidth="1"/>
    <col min="4362" max="4362" width="12.140625" style="881" customWidth="1"/>
    <col min="4363" max="4363" width="8.85546875" style="881" customWidth="1"/>
    <col min="4364" max="4614" width="9.140625" style="881"/>
    <col min="4615" max="4615" width="18.28515625" style="881" customWidth="1"/>
    <col min="4616" max="4616" width="4.5703125" style="881" customWidth="1"/>
    <col min="4617" max="4617" width="8.7109375" style="881" customWidth="1"/>
    <col min="4618" max="4618" width="12.140625" style="881" customWidth="1"/>
    <col min="4619" max="4619" width="8.85546875" style="881" customWidth="1"/>
    <col min="4620" max="4870" width="9.140625" style="881"/>
    <col min="4871" max="4871" width="18.28515625" style="881" customWidth="1"/>
    <col min="4872" max="4872" width="4.5703125" style="881" customWidth="1"/>
    <col min="4873" max="4873" width="8.7109375" style="881" customWidth="1"/>
    <col min="4874" max="4874" width="12.140625" style="881" customWidth="1"/>
    <col min="4875" max="4875" width="8.85546875" style="881" customWidth="1"/>
    <col min="4876" max="5126" width="9.140625" style="881"/>
    <col min="5127" max="5127" width="18.28515625" style="881" customWidth="1"/>
    <col min="5128" max="5128" width="4.5703125" style="881" customWidth="1"/>
    <col min="5129" max="5129" width="8.7109375" style="881" customWidth="1"/>
    <col min="5130" max="5130" width="12.140625" style="881" customWidth="1"/>
    <col min="5131" max="5131" width="8.85546875" style="881" customWidth="1"/>
    <col min="5132" max="5382" width="9.140625" style="881"/>
    <col min="5383" max="5383" width="18.28515625" style="881" customWidth="1"/>
    <col min="5384" max="5384" width="4.5703125" style="881" customWidth="1"/>
    <col min="5385" max="5385" width="8.7109375" style="881" customWidth="1"/>
    <col min="5386" max="5386" width="12.140625" style="881" customWidth="1"/>
    <col min="5387" max="5387" width="8.85546875" style="881" customWidth="1"/>
    <col min="5388" max="5638" width="9.140625" style="881"/>
    <col min="5639" max="5639" width="18.28515625" style="881" customWidth="1"/>
    <col min="5640" max="5640" width="4.5703125" style="881" customWidth="1"/>
    <col min="5641" max="5641" width="8.7109375" style="881" customWidth="1"/>
    <col min="5642" max="5642" width="12.140625" style="881" customWidth="1"/>
    <col min="5643" max="5643" width="8.85546875" style="881" customWidth="1"/>
    <col min="5644" max="5894" width="9.140625" style="881"/>
    <col min="5895" max="5895" width="18.28515625" style="881" customWidth="1"/>
    <col min="5896" max="5896" width="4.5703125" style="881" customWidth="1"/>
    <col min="5897" max="5897" width="8.7109375" style="881" customWidth="1"/>
    <col min="5898" max="5898" width="12.140625" style="881" customWidth="1"/>
    <col min="5899" max="5899" width="8.85546875" style="881" customWidth="1"/>
    <col min="5900" max="6150" width="9.140625" style="881"/>
    <col min="6151" max="6151" width="18.28515625" style="881" customWidth="1"/>
    <col min="6152" max="6152" width="4.5703125" style="881" customWidth="1"/>
    <col min="6153" max="6153" width="8.7109375" style="881" customWidth="1"/>
    <col min="6154" max="6154" width="12.140625" style="881" customWidth="1"/>
    <col min="6155" max="6155" width="8.85546875" style="881" customWidth="1"/>
    <col min="6156" max="6406" width="9.140625" style="881"/>
    <col min="6407" max="6407" width="18.28515625" style="881" customWidth="1"/>
    <col min="6408" max="6408" width="4.5703125" style="881" customWidth="1"/>
    <col min="6409" max="6409" width="8.7109375" style="881" customWidth="1"/>
    <col min="6410" max="6410" width="12.140625" style="881" customWidth="1"/>
    <col min="6411" max="6411" width="8.85546875" style="881" customWidth="1"/>
    <col min="6412" max="6662" width="9.140625" style="881"/>
    <col min="6663" max="6663" width="18.28515625" style="881" customWidth="1"/>
    <col min="6664" max="6664" width="4.5703125" style="881" customWidth="1"/>
    <col min="6665" max="6665" width="8.7109375" style="881" customWidth="1"/>
    <col min="6666" max="6666" width="12.140625" style="881" customWidth="1"/>
    <col min="6667" max="6667" width="8.85546875" style="881" customWidth="1"/>
    <col min="6668" max="6918" width="9.140625" style="881"/>
    <col min="6919" max="6919" width="18.28515625" style="881" customWidth="1"/>
    <col min="6920" max="6920" width="4.5703125" style="881" customWidth="1"/>
    <col min="6921" max="6921" width="8.7109375" style="881" customWidth="1"/>
    <col min="6922" max="6922" width="12.140625" style="881" customWidth="1"/>
    <col min="6923" max="6923" width="8.85546875" style="881" customWidth="1"/>
    <col min="6924" max="7174" width="9.140625" style="881"/>
    <col min="7175" max="7175" width="18.28515625" style="881" customWidth="1"/>
    <col min="7176" max="7176" width="4.5703125" style="881" customWidth="1"/>
    <col min="7177" max="7177" width="8.7109375" style="881" customWidth="1"/>
    <col min="7178" max="7178" width="12.140625" style="881" customWidth="1"/>
    <col min="7179" max="7179" width="8.85546875" style="881" customWidth="1"/>
    <col min="7180" max="7430" width="9.140625" style="881"/>
    <col min="7431" max="7431" width="18.28515625" style="881" customWidth="1"/>
    <col min="7432" max="7432" width="4.5703125" style="881" customWidth="1"/>
    <col min="7433" max="7433" width="8.7109375" style="881" customWidth="1"/>
    <col min="7434" max="7434" width="12.140625" style="881" customWidth="1"/>
    <col min="7435" max="7435" width="8.85546875" style="881" customWidth="1"/>
    <col min="7436" max="7686" width="9.140625" style="881"/>
    <col min="7687" max="7687" width="18.28515625" style="881" customWidth="1"/>
    <col min="7688" max="7688" width="4.5703125" style="881" customWidth="1"/>
    <col min="7689" max="7689" width="8.7109375" style="881" customWidth="1"/>
    <col min="7690" max="7690" width="12.140625" style="881" customWidth="1"/>
    <col min="7691" max="7691" width="8.85546875" style="881" customWidth="1"/>
    <col min="7692" max="7942" width="9.140625" style="881"/>
    <col min="7943" max="7943" width="18.28515625" style="881" customWidth="1"/>
    <col min="7944" max="7944" width="4.5703125" style="881" customWidth="1"/>
    <col min="7945" max="7945" width="8.7109375" style="881" customWidth="1"/>
    <col min="7946" max="7946" width="12.140625" style="881" customWidth="1"/>
    <col min="7947" max="7947" width="8.85546875" style="881" customWidth="1"/>
    <col min="7948" max="8198" width="9.140625" style="881"/>
    <col min="8199" max="8199" width="18.28515625" style="881" customWidth="1"/>
    <col min="8200" max="8200" width="4.5703125" style="881" customWidth="1"/>
    <col min="8201" max="8201" width="8.7109375" style="881" customWidth="1"/>
    <col min="8202" max="8202" width="12.140625" style="881" customWidth="1"/>
    <col min="8203" max="8203" width="8.85546875" style="881" customWidth="1"/>
    <col min="8204" max="8454" width="9.140625" style="881"/>
    <col min="8455" max="8455" width="18.28515625" style="881" customWidth="1"/>
    <col min="8456" max="8456" width="4.5703125" style="881" customWidth="1"/>
    <col min="8457" max="8457" width="8.7109375" style="881" customWidth="1"/>
    <col min="8458" max="8458" width="12.140625" style="881" customWidth="1"/>
    <col min="8459" max="8459" width="8.85546875" style="881" customWidth="1"/>
    <col min="8460" max="8710" width="9.140625" style="881"/>
    <col min="8711" max="8711" width="18.28515625" style="881" customWidth="1"/>
    <col min="8712" max="8712" width="4.5703125" style="881" customWidth="1"/>
    <col min="8713" max="8713" width="8.7109375" style="881" customWidth="1"/>
    <col min="8714" max="8714" width="12.140625" style="881" customWidth="1"/>
    <col min="8715" max="8715" width="8.85546875" style="881" customWidth="1"/>
    <col min="8716" max="8966" width="9.140625" style="881"/>
    <col min="8967" max="8967" width="18.28515625" style="881" customWidth="1"/>
    <col min="8968" max="8968" width="4.5703125" style="881" customWidth="1"/>
    <col min="8969" max="8969" width="8.7109375" style="881" customWidth="1"/>
    <col min="8970" max="8970" width="12.140625" style="881" customWidth="1"/>
    <col min="8971" max="8971" width="8.85546875" style="881" customWidth="1"/>
    <col min="8972" max="9222" width="9.140625" style="881"/>
    <col min="9223" max="9223" width="18.28515625" style="881" customWidth="1"/>
    <col min="9224" max="9224" width="4.5703125" style="881" customWidth="1"/>
    <col min="9225" max="9225" width="8.7109375" style="881" customWidth="1"/>
    <col min="9226" max="9226" width="12.140625" style="881" customWidth="1"/>
    <col min="9227" max="9227" width="8.85546875" style="881" customWidth="1"/>
    <col min="9228" max="9478" width="9.140625" style="881"/>
    <col min="9479" max="9479" width="18.28515625" style="881" customWidth="1"/>
    <col min="9480" max="9480" width="4.5703125" style="881" customWidth="1"/>
    <col min="9481" max="9481" width="8.7109375" style="881" customWidth="1"/>
    <col min="9482" max="9482" width="12.140625" style="881" customWidth="1"/>
    <col min="9483" max="9483" width="8.85546875" style="881" customWidth="1"/>
    <col min="9484" max="9734" width="9.140625" style="881"/>
    <col min="9735" max="9735" width="18.28515625" style="881" customWidth="1"/>
    <col min="9736" max="9736" width="4.5703125" style="881" customWidth="1"/>
    <col min="9737" max="9737" width="8.7109375" style="881" customWidth="1"/>
    <col min="9738" max="9738" width="12.140625" style="881" customWidth="1"/>
    <col min="9739" max="9739" width="8.85546875" style="881" customWidth="1"/>
    <col min="9740" max="9990" width="9.140625" style="881"/>
    <col min="9991" max="9991" width="18.28515625" style="881" customWidth="1"/>
    <col min="9992" max="9992" width="4.5703125" style="881" customWidth="1"/>
    <col min="9993" max="9993" width="8.7109375" style="881" customWidth="1"/>
    <col min="9994" max="9994" width="12.140625" style="881" customWidth="1"/>
    <col min="9995" max="9995" width="8.85546875" style="881" customWidth="1"/>
    <col min="9996" max="10246" width="9.140625" style="881"/>
    <col min="10247" max="10247" width="18.28515625" style="881" customWidth="1"/>
    <col min="10248" max="10248" width="4.5703125" style="881" customWidth="1"/>
    <col min="10249" max="10249" width="8.7109375" style="881" customWidth="1"/>
    <col min="10250" max="10250" width="12.140625" style="881" customWidth="1"/>
    <col min="10251" max="10251" width="8.85546875" style="881" customWidth="1"/>
    <col min="10252" max="10502" width="9.140625" style="881"/>
    <col min="10503" max="10503" width="18.28515625" style="881" customWidth="1"/>
    <col min="10504" max="10504" width="4.5703125" style="881" customWidth="1"/>
    <col min="10505" max="10505" width="8.7109375" style="881" customWidth="1"/>
    <col min="10506" max="10506" width="12.140625" style="881" customWidth="1"/>
    <col min="10507" max="10507" width="8.85546875" style="881" customWidth="1"/>
    <col min="10508" max="10758" width="9.140625" style="881"/>
    <col min="10759" max="10759" width="18.28515625" style="881" customWidth="1"/>
    <col min="10760" max="10760" width="4.5703125" style="881" customWidth="1"/>
    <col min="10761" max="10761" width="8.7109375" style="881" customWidth="1"/>
    <col min="10762" max="10762" width="12.140625" style="881" customWidth="1"/>
    <col min="10763" max="10763" width="8.85546875" style="881" customWidth="1"/>
    <col min="10764" max="11014" width="9.140625" style="881"/>
    <col min="11015" max="11015" width="18.28515625" style="881" customWidth="1"/>
    <col min="11016" max="11016" width="4.5703125" style="881" customWidth="1"/>
    <col min="11017" max="11017" width="8.7109375" style="881" customWidth="1"/>
    <col min="11018" max="11018" width="12.140625" style="881" customWidth="1"/>
    <col min="11019" max="11019" width="8.85546875" style="881" customWidth="1"/>
    <col min="11020" max="11270" width="9.140625" style="881"/>
    <col min="11271" max="11271" width="18.28515625" style="881" customWidth="1"/>
    <col min="11272" max="11272" width="4.5703125" style="881" customWidth="1"/>
    <col min="11273" max="11273" width="8.7109375" style="881" customWidth="1"/>
    <col min="11274" max="11274" width="12.140625" style="881" customWidth="1"/>
    <col min="11275" max="11275" width="8.85546875" style="881" customWidth="1"/>
    <col min="11276" max="11526" width="9.140625" style="881"/>
    <col min="11527" max="11527" width="18.28515625" style="881" customWidth="1"/>
    <col min="11528" max="11528" width="4.5703125" style="881" customWidth="1"/>
    <col min="11529" max="11529" width="8.7109375" style="881" customWidth="1"/>
    <col min="11530" max="11530" width="12.140625" style="881" customWidth="1"/>
    <col min="11531" max="11531" width="8.85546875" style="881" customWidth="1"/>
    <col min="11532" max="11782" width="9.140625" style="881"/>
    <col min="11783" max="11783" width="18.28515625" style="881" customWidth="1"/>
    <col min="11784" max="11784" width="4.5703125" style="881" customWidth="1"/>
    <col min="11785" max="11785" width="8.7109375" style="881" customWidth="1"/>
    <col min="11786" max="11786" width="12.140625" style="881" customWidth="1"/>
    <col min="11787" max="11787" width="8.85546875" style="881" customWidth="1"/>
    <col min="11788" max="12038" width="9.140625" style="881"/>
    <col min="12039" max="12039" width="18.28515625" style="881" customWidth="1"/>
    <col min="12040" max="12040" width="4.5703125" style="881" customWidth="1"/>
    <col min="12041" max="12041" width="8.7109375" style="881" customWidth="1"/>
    <col min="12042" max="12042" width="12.140625" style="881" customWidth="1"/>
    <col min="12043" max="12043" width="8.85546875" style="881" customWidth="1"/>
    <col min="12044" max="12294" width="9.140625" style="881"/>
    <col min="12295" max="12295" width="18.28515625" style="881" customWidth="1"/>
    <col min="12296" max="12296" width="4.5703125" style="881" customWidth="1"/>
    <col min="12297" max="12297" width="8.7109375" style="881" customWidth="1"/>
    <col min="12298" max="12298" width="12.140625" style="881" customWidth="1"/>
    <col min="12299" max="12299" width="8.85546875" style="881" customWidth="1"/>
    <col min="12300" max="12550" width="9.140625" style="881"/>
    <col min="12551" max="12551" width="18.28515625" style="881" customWidth="1"/>
    <col min="12552" max="12552" width="4.5703125" style="881" customWidth="1"/>
    <col min="12553" max="12553" width="8.7109375" style="881" customWidth="1"/>
    <col min="12554" max="12554" width="12.140625" style="881" customWidth="1"/>
    <col min="12555" max="12555" width="8.85546875" style="881" customWidth="1"/>
    <col min="12556" max="12806" width="9.140625" style="881"/>
    <col min="12807" max="12807" width="18.28515625" style="881" customWidth="1"/>
    <col min="12808" max="12808" width="4.5703125" style="881" customWidth="1"/>
    <col min="12809" max="12809" width="8.7109375" style="881" customWidth="1"/>
    <col min="12810" max="12810" width="12.140625" style="881" customWidth="1"/>
    <col min="12811" max="12811" width="8.85546875" style="881" customWidth="1"/>
    <col min="12812" max="13062" width="9.140625" style="881"/>
    <col min="13063" max="13063" width="18.28515625" style="881" customWidth="1"/>
    <col min="13064" max="13064" width="4.5703125" style="881" customWidth="1"/>
    <col min="13065" max="13065" width="8.7109375" style="881" customWidth="1"/>
    <col min="13066" max="13066" width="12.140625" style="881" customWidth="1"/>
    <col min="13067" max="13067" width="8.85546875" style="881" customWidth="1"/>
    <col min="13068" max="13318" width="9.140625" style="881"/>
    <col min="13319" max="13319" width="18.28515625" style="881" customWidth="1"/>
    <col min="13320" max="13320" width="4.5703125" style="881" customWidth="1"/>
    <col min="13321" max="13321" width="8.7109375" style="881" customWidth="1"/>
    <col min="13322" max="13322" width="12.140625" style="881" customWidth="1"/>
    <col min="13323" max="13323" width="8.85546875" style="881" customWidth="1"/>
    <col min="13324" max="13574" width="9.140625" style="881"/>
    <col min="13575" max="13575" width="18.28515625" style="881" customWidth="1"/>
    <col min="13576" max="13576" width="4.5703125" style="881" customWidth="1"/>
    <col min="13577" max="13577" width="8.7109375" style="881" customWidth="1"/>
    <col min="13578" max="13578" width="12.140625" style="881" customWidth="1"/>
    <col min="13579" max="13579" width="8.85546875" style="881" customWidth="1"/>
    <col min="13580" max="13830" width="9.140625" style="881"/>
    <col min="13831" max="13831" width="18.28515625" style="881" customWidth="1"/>
    <col min="13832" max="13832" width="4.5703125" style="881" customWidth="1"/>
    <col min="13833" max="13833" width="8.7109375" style="881" customWidth="1"/>
    <col min="13834" max="13834" width="12.140625" style="881" customWidth="1"/>
    <col min="13835" max="13835" width="8.85546875" style="881" customWidth="1"/>
    <col min="13836" max="14086" width="9.140625" style="881"/>
    <col min="14087" max="14087" width="18.28515625" style="881" customWidth="1"/>
    <col min="14088" max="14088" width="4.5703125" style="881" customWidth="1"/>
    <col min="14089" max="14089" width="8.7109375" style="881" customWidth="1"/>
    <col min="14090" max="14090" width="12.140625" style="881" customWidth="1"/>
    <col min="14091" max="14091" width="8.85546875" style="881" customWidth="1"/>
    <col min="14092" max="14342" width="9.140625" style="881"/>
    <col min="14343" max="14343" width="18.28515625" style="881" customWidth="1"/>
    <col min="14344" max="14344" width="4.5703125" style="881" customWidth="1"/>
    <col min="14345" max="14345" width="8.7109375" style="881" customWidth="1"/>
    <col min="14346" max="14346" width="12.140625" style="881" customWidth="1"/>
    <col min="14347" max="14347" width="8.85546875" style="881" customWidth="1"/>
    <col min="14348" max="14598" width="9.140625" style="881"/>
    <col min="14599" max="14599" width="18.28515625" style="881" customWidth="1"/>
    <col min="14600" max="14600" width="4.5703125" style="881" customWidth="1"/>
    <col min="14601" max="14601" width="8.7109375" style="881" customWidth="1"/>
    <col min="14602" max="14602" width="12.140625" style="881" customWidth="1"/>
    <col min="14603" max="14603" width="8.85546875" style="881" customWidth="1"/>
    <col min="14604" max="14854" width="9.140625" style="881"/>
    <col min="14855" max="14855" width="18.28515625" style="881" customWidth="1"/>
    <col min="14856" max="14856" width="4.5703125" style="881" customWidth="1"/>
    <col min="14857" max="14857" width="8.7109375" style="881" customWidth="1"/>
    <col min="14858" max="14858" width="12.140625" style="881" customWidth="1"/>
    <col min="14859" max="14859" width="8.85546875" style="881" customWidth="1"/>
    <col min="14860" max="15110" width="9.140625" style="881"/>
    <col min="15111" max="15111" width="18.28515625" style="881" customWidth="1"/>
    <col min="15112" max="15112" width="4.5703125" style="881" customWidth="1"/>
    <col min="15113" max="15113" width="8.7109375" style="881" customWidth="1"/>
    <col min="15114" max="15114" width="12.140625" style="881" customWidth="1"/>
    <col min="15115" max="15115" width="8.85546875" style="881" customWidth="1"/>
    <col min="15116" max="15366" width="9.140625" style="881"/>
    <col min="15367" max="15367" width="18.28515625" style="881" customWidth="1"/>
    <col min="15368" max="15368" width="4.5703125" style="881" customWidth="1"/>
    <col min="15369" max="15369" width="8.7109375" style="881" customWidth="1"/>
    <col min="15370" max="15370" width="12.140625" style="881" customWidth="1"/>
    <col min="15371" max="15371" width="8.85546875" style="881" customWidth="1"/>
    <col min="15372" max="15622" width="9.140625" style="881"/>
    <col min="15623" max="15623" width="18.28515625" style="881" customWidth="1"/>
    <col min="15624" max="15624" width="4.5703125" style="881" customWidth="1"/>
    <col min="15625" max="15625" width="8.7109375" style="881" customWidth="1"/>
    <col min="15626" max="15626" width="12.140625" style="881" customWidth="1"/>
    <col min="15627" max="15627" width="8.85546875" style="881" customWidth="1"/>
    <col min="15628" max="15878" width="9.140625" style="881"/>
    <col min="15879" max="15879" width="18.28515625" style="881" customWidth="1"/>
    <col min="15880" max="15880" width="4.5703125" style="881" customWidth="1"/>
    <col min="15881" max="15881" width="8.7109375" style="881" customWidth="1"/>
    <col min="15882" max="15882" width="12.140625" style="881" customWidth="1"/>
    <col min="15883" max="15883" width="8.85546875" style="881" customWidth="1"/>
    <col min="15884" max="16134" width="9.140625" style="881"/>
    <col min="16135" max="16135" width="18.28515625" style="881" customWidth="1"/>
    <col min="16136" max="16136" width="4.5703125" style="881" customWidth="1"/>
    <col min="16137" max="16137" width="8.7109375" style="881" customWidth="1"/>
    <col min="16138" max="16138" width="12.140625" style="881" customWidth="1"/>
    <col min="16139" max="16139" width="8.85546875" style="881" customWidth="1"/>
    <col min="16140" max="16384" width="9.140625" style="881"/>
  </cols>
  <sheetData>
    <row r="1" spans="1:17" s="966" customFormat="1" ht="15.75" x14ac:dyDescent="0.25">
      <c r="A1" s="561" t="str">
        <f>EE_Belin!A1</f>
        <v>SEAU Belin</v>
      </c>
      <c r="B1" s="962"/>
      <c r="C1" s="963">
        <f>EE_Belin!B1</f>
        <v>2700</v>
      </c>
      <c r="D1" s="962" t="s">
        <v>343</v>
      </c>
      <c r="E1" s="964"/>
      <c r="F1" s="965"/>
      <c r="G1" s="965"/>
      <c r="H1" s="965"/>
      <c r="I1" s="965"/>
      <c r="L1" s="967" t="s">
        <v>342</v>
      </c>
      <c r="M1" s="968">
        <v>4.7516999999999996</v>
      </c>
      <c r="N1" s="969"/>
      <c r="O1" s="969"/>
      <c r="P1" s="969"/>
      <c r="Q1" s="969"/>
    </row>
    <row r="2" spans="1:17" s="966" customFormat="1" ht="15.75" x14ac:dyDescent="0.25">
      <c r="A2" s="970" t="s">
        <v>345</v>
      </c>
      <c r="E2" s="971"/>
      <c r="L2" s="972" t="s">
        <v>344</v>
      </c>
      <c r="M2" s="972"/>
      <c r="N2" s="972"/>
      <c r="O2" s="972"/>
      <c r="P2" s="969"/>
      <c r="Q2" s="969"/>
    </row>
    <row r="3" spans="1:17" s="966" customFormat="1" ht="15.75" x14ac:dyDescent="0.25">
      <c r="A3" s="966" t="s">
        <v>349</v>
      </c>
      <c r="E3" s="971" t="s">
        <v>350</v>
      </c>
      <c r="F3" s="995">
        <v>17.600000000000001</v>
      </c>
      <c r="H3" s="973" t="s">
        <v>351</v>
      </c>
      <c r="L3" s="972" t="s">
        <v>346</v>
      </c>
      <c r="M3" s="972"/>
      <c r="N3" s="974">
        <v>16060</v>
      </c>
      <c r="O3" s="972" t="s">
        <v>347</v>
      </c>
      <c r="P3" s="974">
        <f>N3/M1</f>
        <v>3379.8430035566221</v>
      </c>
      <c r="Q3" s="969" t="s">
        <v>348</v>
      </c>
    </row>
    <row r="4" spans="1:17" s="966" customFormat="1" ht="15.75" x14ac:dyDescent="0.25">
      <c r="E4" s="971" t="s">
        <v>353</v>
      </c>
      <c r="F4" s="975">
        <f>F3/1.42</f>
        <v>12.3943661971831</v>
      </c>
      <c r="L4" s="972" t="s">
        <v>352</v>
      </c>
      <c r="M4" s="972"/>
      <c r="N4" s="974">
        <v>1460</v>
      </c>
      <c r="O4" s="972" t="s">
        <v>347</v>
      </c>
      <c r="P4" s="974">
        <f>N4/M1</f>
        <v>307.25845486878382</v>
      </c>
      <c r="Q4" s="969" t="s">
        <v>348</v>
      </c>
    </row>
    <row r="5" spans="1:17" s="981" customFormat="1" ht="15.75" x14ac:dyDescent="0.25">
      <c r="A5" s="976" t="s">
        <v>354</v>
      </c>
      <c r="B5" s="977"/>
      <c r="C5" s="978"/>
      <c r="D5" s="962"/>
      <c r="E5" s="979" t="s">
        <v>355</v>
      </c>
      <c r="F5" s="980">
        <f>F3*365/1000</f>
        <v>6.4240000000000013</v>
      </c>
      <c r="G5" s="979"/>
      <c r="H5" s="977"/>
      <c r="I5" s="977"/>
      <c r="L5" s="982"/>
      <c r="M5" s="982"/>
      <c r="N5" s="982"/>
      <c r="O5" s="982"/>
      <c r="P5" s="983"/>
      <c r="Q5" s="983"/>
    </row>
    <row r="6" spans="1:17" s="966" customFormat="1" ht="15.75" x14ac:dyDescent="0.25">
      <c r="A6" s="984" t="s">
        <v>358</v>
      </c>
      <c r="B6" s="985"/>
      <c r="C6" s="985"/>
      <c r="D6" s="985"/>
      <c r="E6" s="986"/>
      <c r="F6" s="985"/>
      <c r="G6" s="985"/>
      <c r="H6" s="985"/>
      <c r="I6" s="985"/>
      <c r="L6" s="982" t="s">
        <v>356</v>
      </c>
      <c r="M6" s="972"/>
      <c r="N6" s="969"/>
      <c r="O6" s="982"/>
      <c r="P6" s="987">
        <f>F5*P4+F20*P3</f>
        <v>3893.0679388429412</v>
      </c>
      <c r="Q6" s="983" t="s">
        <v>357</v>
      </c>
    </row>
    <row r="7" spans="1:17" s="966" customFormat="1" ht="15.75" x14ac:dyDescent="0.25">
      <c r="A7" s="988" t="s">
        <v>359</v>
      </c>
      <c r="B7" s="985"/>
      <c r="C7" s="989"/>
      <c r="E7" s="986" t="s">
        <v>360</v>
      </c>
      <c r="F7" s="995">
        <v>158.75</v>
      </c>
      <c r="G7" s="986"/>
      <c r="H7" s="973" t="s">
        <v>351</v>
      </c>
      <c r="I7" s="985"/>
      <c r="L7" s="969"/>
      <c r="M7" s="969"/>
      <c r="N7" s="969"/>
      <c r="O7" s="969"/>
      <c r="P7" s="969"/>
      <c r="Q7" s="969"/>
    </row>
    <row r="8" spans="1:17" s="966" customFormat="1" ht="15.75" x14ac:dyDescent="0.25">
      <c r="A8" s="988" t="s">
        <v>361</v>
      </c>
      <c r="B8" s="985"/>
      <c r="C8" s="989"/>
      <c r="E8" s="986" t="s">
        <v>362</v>
      </c>
      <c r="F8" s="975">
        <f>F7*98/100</f>
        <v>155.57499999999999</v>
      </c>
      <c r="G8" s="986"/>
      <c r="H8" s="973" t="s">
        <v>351</v>
      </c>
      <c r="I8" s="985"/>
      <c r="L8" s="969"/>
      <c r="M8" s="969"/>
      <c r="N8" s="969"/>
      <c r="O8" s="969"/>
      <c r="P8" s="969"/>
      <c r="Q8" s="969"/>
    </row>
    <row r="9" spans="1:17" s="966" customFormat="1" ht="15.75" x14ac:dyDescent="0.25">
      <c r="A9" s="988" t="s">
        <v>363</v>
      </c>
      <c r="B9" s="985"/>
      <c r="C9" s="989"/>
      <c r="E9" s="986" t="s">
        <v>201</v>
      </c>
      <c r="F9" s="975">
        <v>98</v>
      </c>
      <c r="G9" s="986"/>
      <c r="H9" s="985"/>
      <c r="I9" s="985"/>
      <c r="L9" s="969"/>
      <c r="M9" s="969"/>
      <c r="N9" s="969"/>
      <c r="O9" s="969"/>
      <c r="P9" s="969"/>
      <c r="Q9" s="969"/>
    </row>
    <row r="10" spans="1:17" s="966" customFormat="1" ht="15.75" x14ac:dyDescent="0.25">
      <c r="A10" s="988" t="s">
        <v>364</v>
      </c>
      <c r="B10" s="985"/>
      <c r="C10" s="989"/>
      <c r="E10" s="986" t="s">
        <v>362</v>
      </c>
      <c r="F10" s="975">
        <f>(F8+F19)*F9/100</f>
        <v>153.98813499999997</v>
      </c>
      <c r="G10" s="986"/>
      <c r="H10" s="990" t="s">
        <v>365</v>
      </c>
      <c r="I10" s="985"/>
      <c r="L10" s="969"/>
      <c r="M10" s="969"/>
      <c r="N10" s="969"/>
      <c r="O10" s="969"/>
      <c r="P10" s="969"/>
      <c r="Q10" s="969"/>
    </row>
    <row r="11" spans="1:17" s="966" customFormat="1" ht="15.75" x14ac:dyDescent="0.25">
      <c r="A11" s="988" t="s">
        <v>366</v>
      </c>
      <c r="B11" s="985"/>
      <c r="C11" s="989"/>
      <c r="E11" s="986" t="s">
        <v>350</v>
      </c>
      <c r="F11" s="975">
        <f>F10/0.25</f>
        <v>615.95253999999989</v>
      </c>
      <c r="G11" s="986"/>
      <c r="H11" s="985"/>
      <c r="I11" s="985"/>
      <c r="L11" s="969"/>
      <c r="M11" s="969"/>
      <c r="N11" s="969"/>
      <c r="O11" s="969"/>
      <c r="P11" s="969"/>
      <c r="Q11" s="969"/>
    </row>
    <row r="12" spans="1:17" s="981" customFormat="1" ht="15.75" x14ac:dyDescent="0.25">
      <c r="A12" s="976" t="s">
        <v>367</v>
      </c>
      <c r="B12" s="977"/>
      <c r="C12" s="978"/>
      <c r="D12" s="962"/>
      <c r="E12" s="979" t="s">
        <v>355</v>
      </c>
      <c r="F12" s="980">
        <f>F11/1000*365</f>
        <v>224.82267709999996</v>
      </c>
      <c r="G12" s="979"/>
      <c r="H12" s="977"/>
      <c r="I12" s="977"/>
      <c r="L12" s="983"/>
      <c r="M12" s="983"/>
      <c r="N12" s="983"/>
      <c r="O12" s="983"/>
      <c r="P12" s="983"/>
      <c r="Q12" s="983"/>
    </row>
    <row r="13" spans="1:17" s="966" customFormat="1" ht="15.75" x14ac:dyDescent="0.25">
      <c r="A13" s="988" t="s">
        <v>368</v>
      </c>
      <c r="B13" s="985"/>
      <c r="C13" s="989"/>
      <c r="E13" s="986" t="s">
        <v>201</v>
      </c>
      <c r="F13" s="975">
        <v>22</v>
      </c>
      <c r="G13" s="986"/>
      <c r="H13" s="985"/>
      <c r="I13" s="985"/>
      <c r="L13" s="969"/>
      <c r="M13" s="969"/>
      <c r="N13" s="969"/>
      <c r="O13" s="969"/>
      <c r="P13" s="969"/>
      <c r="Q13" s="969"/>
    </row>
    <row r="14" spans="1:17" s="966" customFormat="1" ht="18" x14ac:dyDescent="0.25">
      <c r="A14" s="988" t="s">
        <v>369</v>
      </c>
      <c r="B14" s="985"/>
      <c r="C14" s="989"/>
      <c r="E14" s="971" t="s">
        <v>370</v>
      </c>
      <c r="F14" s="991">
        <v>1080</v>
      </c>
      <c r="G14" s="986"/>
      <c r="H14" s="985"/>
      <c r="I14" s="985"/>
      <c r="L14" s="969"/>
      <c r="M14" s="969"/>
      <c r="N14" s="969"/>
      <c r="O14" s="969"/>
      <c r="P14" s="969"/>
      <c r="Q14" s="969"/>
    </row>
    <row r="15" spans="1:17" s="966" customFormat="1" ht="18" x14ac:dyDescent="0.25">
      <c r="A15" s="988" t="s">
        <v>371</v>
      </c>
      <c r="B15" s="985"/>
      <c r="C15" s="989"/>
      <c r="E15" s="971" t="s">
        <v>370</v>
      </c>
      <c r="F15" s="991">
        <f>F13/100*F14</f>
        <v>237.6</v>
      </c>
      <c r="G15" s="986"/>
      <c r="H15" s="985"/>
      <c r="I15" s="985"/>
      <c r="L15" s="969"/>
      <c r="M15" s="969"/>
      <c r="N15" s="969"/>
      <c r="O15" s="969"/>
      <c r="P15" s="969"/>
      <c r="Q15" s="969"/>
    </row>
    <row r="16" spans="1:17" s="966" customFormat="1" ht="18" x14ac:dyDescent="0.25">
      <c r="A16" s="988" t="s">
        <v>372</v>
      </c>
      <c r="B16" s="985"/>
      <c r="C16" s="989"/>
      <c r="E16" s="971" t="s">
        <v>373</v>
      </c>
      <c r="F16" s="991">
        <f>F10/F15</f>
        <v>0.64809821127946121</v>
      </c>
      <c r="G16" s="986"/>
      <c r="H16" s="985"/>
      <c r="I16" s="985"/>
      <c r="L16" s="969"/>
      <c r="M16" s="969"/>
      <c r="N16" s="969"/>
      <c r="O16" s="969"/>
      <c r="P16" s="969"/>
      <c r="Q16" s="969"/>
    </row>
    <row r="17" spans="1:17" s="981" customFormat="1" ht="18" x14ac:dyDescent="0.25">
      <c r="A17" s="976" t="s">
        <v>374</v>
      </c>
      <c r="B17" s="977"/>
      <c r="C17" s="978"/>
      <c r="D17" s="962"/>
      <c r="E17" s="992" t="s">
        <v>375</v>
      </c>
      <c r="F17" s="980">
        <f>F16*365</f>
        <v>236.55584711700334</v>
      </c>
      <c r="G17" s="979"/>
      <c r="H17" s="977"/>
      <c r="I17" s="977"/>
      <c r="L17" s="983"/>
      <c r="M17" s="983"/>
      <c r="N17" s="983"/>
      <c r="O17" s="983"/>
      <c r="P17" s="983"/>
      <c r="Q17" s="983"/>
    </row>
    <row r="18" spans="1:17" s="966" customFormat="1" ht="15.75" x14ac:dyDescent="0.25">
      <c r="A18" s="988" t="s">
        <v>376</v>
      </c>
      <c r="B18" s="985"/>
      <c r="C18" s="989"/>
      <c r="E18" s="986" t="s">
        <v>377</v>
      </c>
      <c r="F18" s="975">
        <v>10</v>
      </c>
      <c r="G18" s="986"/>
      <c r="H18" s="973" t="s">
        <v>351</v>
      </c>
      <c r="I18" s="985"/>
      <c r="L18" s="969"/>
      <c r="M18" s="969"/>
      <c r="N18" s="969"/>
      <c r="O18" s="969"/>
      <c r="P18" s="969"/>
      <c r="Q18" s="969"/>
    </row>
    <row r="19" spans="1:17" s="966" customFormat="1" ht="15.75" x14ac:dyDescent="0.25">
      <c r="A19" s="985" t="s">
        <v>378</v>
      </c>
      <c r="E19" s="971" t="s">
        <v>379</v>
      </c>
      <c r="F19" s="975">
        <f>F18*F8/1000</f>
        <v>1.55575</v>
      </c>
      <c r="L19" s="969"/>
      <c r="M19" s="969"/>
      <c r="N19" s="969"/>
      <c r="O19" s="969"/>
      <c r="P19" s="969"/>
      <c r="Q19" s="969"/>
    </row>
    <row r="20" spans="1:17" s="966" customFormat="1" ht="15.75" x14ac:dyDescent="0.25">
      <c r="A20" s="962" t="s">
        <v>380</v>
      </c>
      <c r="B20" s="962"/>
      <c r="C20" s="962"/>
      <c r="D20" s="962"/>
      <c r="E20" s="992" t="s">
        <v>381</v>
      </c>
      <c r="F20" s="993">
        <f>F19*365/1000</f>
        <v>0.56784875000000001</v>
      </c>
      <c r="G20" s="965"/>
      <c r="H20" s="965"/>
      <c r="I20" s="965"/>
      <c r="L20" s="969"/>
      <c r="M20" s="969"/>
      <c r="N20" s="969"/>
      <c r="O20" s="969"/>
      <c r="P20" s="969"/>
      <c r="Q20" s="969"/>
    </row>
    <row r="21" spans="1:17" s="966" customFormat="1" ht="15.75" x14ac:dyDescent="0.25">
      <c r="E21" s="971"/>
      <c r="F21" s="991"/>
      <c r="L21" s="969"/>
      <c r="M21" s="969"/>
      <c r="N21" s="969"/>
      <c r="O21" s="969"/>
      <c r="P21" s="969"/>
      <c r="Q21" s="969"/>
    </row>
    <row r="22" spans="1:17" s="966" customFormat="1" ht="15.75" x14ac:dyDescent="0.25">
      <c r="A22" s="985" t="s">
        <v>382</v>
      </c>
      <c r="E22" s="971" t="s">
        <v>201</v>
      </c>
      <c r="F22" s="975">
        <v>0.5</v>
      </c>
      <c r="L22" s="969"/>
      <c r="M22" s="969"/>
      <c r="N22" s="969"/>
      <c r="O22" s="969"/>
      <c r="P22" s="969"/>
      <c r="Q22" s="969"/>
    </row>
    <row r="23" spans="1:17" s="966" customFormat="1" ht="18" x14ac:dyDescent="0.25">
      <c r="A23" s="985" t="s">
        <v>383</v>
      </c>
      <c r="E23" s="971" t="s">
        <v>370</v>
      </c>
      <c r="F23" s="975">
        <v>1000</v>
      </c>
      <c r="L23" s="969"/>
      <c r="M23" s="969"/>
      <c r="N23" s="969"/>
      <c r="O23" s="969"/>
      <c r="P23" s="969"/>
      <c r="Q23" s="969"/>
    </row>
    <row r="24" spans="1:17" s="966" customFormat="1" ht="21" customHeight="1" x14ac:dyDescent="0.25">
      <c r="A24" s="985" t="s">
        <v>384</v>
      </c>
      <c r="E24" s="971" t="s">
        <v>373</v>
      </c>
      <c r="F24" s="975">
        <f>F19/(F23*F22/100)</f>
        <v>0.31114999999999998</v>
      </c>
      <c r="H24" s="973" t="s">
        <v>351</v>
      </c>
      <c r="L24" s="969"/>
      <c r="M24" s="969"/>
      <c r="N24" s="969"/>
      <c r="O24" s="969"/>
      <c r="P24" s="969"/>
      <c r="Q24" s="969"/>
    </row>
    <row r="25" spans="1:17" s="966" customFormat="1" ht="18.75" customHeight="1" x14ac:dyDescent="0.25">
      <c r="A25" s="985" t="s">
        <v>385</v>
      </c>
      <c r="E25" s="971" t="s">
        <v>201</v>
      </c>
      <c r="F25" s="975">
        <v>0.1</v>
      </c>
      <c r="L25" s="969"/>
      <c r="M25" s="969"/>
      <c r="N25" s="969"/>
      <c r="O25" s="969"/>
      <c r="P25" s="969"/>
      <c r="Q25" s="969"/>
    </row>
    <row r="26" spans="1:17" s="966" customFormat="1" ht="18" x14ac:dyDescent="0.25">
      <c r="A26" s="985" t="s">
        <v>386</v>
      </c>
      <c r="E26" s="971" t="s">
        <v>373</v>
      </c>
      <c r="F26" s="975">
        <f>F19/(F23*F25/100)-F24</f>
        <v>1.2445999999999999</v>
      </c>
      <c r="H26" s="973" t="s">
        <v>351</v>
      </c>
      <c r="L26" s="969"/>
      <c r="M26" s="969"/>
      <c r="N26" s="969"/>
      <c r="O26" s="969"/>
      <c r="P26" s="969"/>
      <c r="Q26" s="969"/>
    </row>
    <row r="27" spans="1:17" s="966" customFormat="1" ht="18" x14ac:dyDescent="0.25">
      <c r="A27" s="962" t="s">
        <v>387</v>
      </c>
      <c r="B27" s="962"/>
      <c r="C27" s="962"/>
      <c r="D27" s="962"/>
      <c r="E27" s="992" t="s">
        <v>375</v>
      </c>
      <c r="F27" s="993">
        <f>F26*365</f>
        <v>454.279</v>
      </c>
      <c r="G27" s="965"/>
      <c r="H27" s="965"/>
      <c r="I27" s="965"/>
      <c r="L27" s="969"/>
      <c r="M27" s="969"/>
      <c r="N27" s="969"/>
      <c r="O27" s="969"/>
      <c r="P27" s="969"/>
      <c r="Q27" s="969"/>
    </row>
    <row r="28" spans="1:17" s="966" customFormat="1" ht="15.75" x14ac:dyDescent="0.25">
      <c r="E28" s="971"/>
      <c r="L28" s="969"/>
      <c r="M28" s="969"/>
      <c r="N28" s="969"/>
      <c r="O28" s="969"/>
      <c r="P28" s="969"/>
      <c r="Q28" s="969"/>
    </row>
    <row r="29" spans="1:17" s="966" customFormat="1" ht="15.75" x14ac:dyDescent="0.25">
      <c r="E29" s="971"/>
      <c r="L29" s="969"/>
      <c r="M29" s="969"/>
      <c r="N29" s="969"/>
      <c r="O29" s="969"/>
      <c r="P29" s="969"/>
      <c r="Q29" s="969"/>
    </row>
  </sheetData>
  <pageMargins left="0.7" right="0.7" top="0.75" bottom="0.75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AG159"/>
  <sheetViews>
    <sheetView zoomScale="85" zoomScaleNormal="85" zoomScaleSheetLayoutView="100" workbookViewId="0">
      <pane xSplit="5" ySplit="13" topLeftCell="F65" activePane="bottomRight" state="frozen"/>
      <selection pane="topRight" activeCell="F1" sqref="F1"/>
      <selection pane="bottomLeft" activeCell="A14" sqref="A14"/>
      <selection pane="bottomRight" activeCell="Z92" sqref="Z92"/>
    </sheetView>
  </sheetViews>
  <sheetFormatPr defaultRowHeight="12.75" x14ac:dyDescent="0.2"/>
  <cols>
    <col min="1" max="1" width="3.42578125" style="24" customWidth="1"/>
    <col min="2" max="2" width="6.28515625" style="1" customWidth="1"/>
    <col min="3" max="3" width="7.42578125" style="1" customWidth="1"/>
    <col min="4" max="4" width="6.85546875" style="25" customWidth="1"/>
    <col min="5" max="5" width="7.85546875" style="1" customWidth="1"/>
    <col min="6" max="6" width="6.42578125" style="1" hidden="1" customWidth="1"/>
    <col min="7" max="7" width="7.5703125" style="1" hidden="1" customWidth="1"/>
    <col min="8" max="8" width="7.7109375" style="1" bestFit="1" customWidth="1"/>
    <col min="9" max="9" width="6.42578125" style="1" hidden="1" customWidth="1"/>
    <col min="10" max="10" width="7.5703125" style="1" hidden="1" customWidth="1"/>
    <col min="11" max="11" width="7.7109375" style="1" bestFit="1" customWidth="1"/>
    <col min="12" max="12" width="8" style="1" hidden="1" customWidth="1"/>
    <col min="13" max="13" width="7.140625" style="1" hidden="1" customWidth="1"/>
    <col min="14" max="14" width="7.7109375" style="1" customWidth="1"/>
    <col min="15" max="15" width="8" style="1" hidden="1" customWidth="1"/>
    <col min="16" max="16" width="8.5703125" style="1" hidden="1" customWidth="1"/>
    <col min="17" max="17" width="7.7109375" style="1" customWidth="1"/>
    <col min="18" max="18" width="10.42578125" style="1" customWidth="1"/>
    <col min="19" max="19" width="10.7109375" style="1" customWidth="1"/>
    <col min="20" max="20" width="13.5703125" style="1" customWidth="1"/>
    <col min="21" max="21" width="10" style="1" customWidth="1"/>
    <col min="22" max="22" width="11.28515625" style="1" customWidth="1"/>
    <col min="23" max="24" width="8.5703125" style="1" customWidth="1"/>
    <col min="25" max="25" width="9.85546875" style="1" customWidth="1"/>
    <col min="26" max="26" width="8.5703125" style="1" customWidth="1"/>
  </cols>
  <sheetData>
    <row r="1" spans="1:33" ht="35.25" customHeight="1" x14ac:dyDescent="0.2">
      <c r="A1" s="1065" t="s">
        <v>26</v>
      </c>
      <c r="B1" s="1065"/>
      <c r="C1" s="1065"/>
      <c r="D1" s="1065"/>
      <c r="E1" s="1065"/>
    </row>
    <row r="2" spans="1:33" ht="6" customHeight="1" x14ac:dyDescent="0.2">
      <c r="A2" s="2"/>
      <c r="B2" s="3"/>
      <c r="C2" s="3"/>
      <c r="D2" s="2"/>
    </row>
    <row r="3" spans="1:33" ht="6" customHeight="1" x14ac:dyDescent="0.2">
      <c r="A3" s="2"/>
      <c r="B3" s="3"/>
      <c r="C3" s="3"/>
      <c r="D3" s="2"/>
    </row>
    <row r="4" spans="1:33" s="5" customFormat="1" ht="12.75" customHeight="1" x14ac:dyDescent="0.2">
      <c r="A4" s="1066" t="s">
        <v>17</v>
      </c>
      <c r="B4" s="1066"/>
      <c r="C4" s="1066"/>
      <c r="D4" s="1066"/>
      <c r="E4" s="1066"/>
      <c r="F4" s="1066"/>
      <c r="G4" s="1066"/>
      <c r="H4" s="1066"/>
      <c r="I4" s="1066"/>
      <c r="J4" s="1066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3" x14ac:dyDescent="0.2">
      <c r="A5" s="2"/>
      <c r="B5" s="6"/>
      <c r="C5" s="3"/>
      <c r="D5" s="2"/>
    </row>
    <row r="6" spans="1:33" x14ac:dyDescent="0.2">
      <c r="A6" s="7"/>
      <c r="B6" s="8" t="s">
        <v>0</v>
      </c>
      <c r="C6" s="3" t="s">
        <v>25</v>
      </c>
      <c r="D6" s="2"/>
    </row>
    <row r="7" spans="1:33" x14ac:dyDescent="0.2">
      <c r="A7" s="7"/>
      <c r="B7" s="8"/>
      <c r="C7" s="3" t="s">
        <v>27</v>
      </c>
      <c r="D7" s="2"/>
      <c r="AG7">
        <v>1</v>
      </c>
    </row>
    <row r="8" spans="1:33" x14ac:dyDescent="0.2">
      <c r="A8" s="7"/>
      <c r="B8" s="8"/>
      <c r="C8" s="3"/>
      <c r="D8" s="2"/>
    </row>
    <row r="9" spans="1:33" x14ac:dyDescent="0.2">
      <c r="A9" s="7"/>
      <c r="B9" s="8" t="s">
        <v>139</v>
      </c>
      <c r="C9" s="8"/>
      <c r="D9" s="7"/>
      <c r="E9" s="35"/>
      <c r="F9" s="35"/>
      <c r="G9" s="35"/>
      <c r="J9" s="35"/>
      <c r="K9" s="8"/>
    </row>
    <row r="10" spans="1:33" ht="13.5" thickBot="1" x14ac:dyDescent="0.25">
      <c r="A10" s="7"/>
      <c r="B10" s="8"/>
      <c r="C10" s="3"/>
      <c r="D10" s="2"/>
    </row>
    <row r="11" spans="1:33" s="9" customFormat="1" ht="55.5" customHeight="1" thickBot="1" x14ac:dyDescent="0.25">
      <c r="B11" s="1059" t="s">
        <v>24</v>
      </c>
      <c r="C11" s="1060"/>
      <c r="D11" s="1060"/>
      <c r="E11" s="1061"/>
      <c r="F11" s="1059" t="s">
        <v>1</v>
      </c>
      <c r="G11" s="1060"/>
      <c r="H11" s="1061"/>
      <c r="I11" s="1059" t="s">
        <v>2</v>
      </c>
      <c r="J11" s="1060"/>
      <c r="K11" s="1060"/>
      <c r="L11" s="1059" t="s">
        <v>3</v>
      </c>
      <c r="M11" s="1060"/>
      <c r="N11" s="1061"/>
      <c r="O11" s="1060" t="s">
        <v>4</v>
      </c>
      <c r="P11" s="1060"/>
      <c r="Q11" s="1060"/>
      <c r="R11" s="10" t="s">
        <v>19</v>
      </c>
      <c r="S11" s="10" t="s">
        <v>36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10" t="s">
        <v>23</v>
      </c>
      <c r="Z11" s="11" t="s">
        <v>39</v>
      </c>
      <c r="AA11" s="1059" t="s">
        <v>93</v>
      </c>
      <c r="AB11" s="1060"/>
      <c r="AC11" s="1061"/>
      <c r="AD11" s="1062" t="s">
        <v>97</v>
      </c>
      <c r="AE11" s="1063"/>
      <c r="AF11" s="1064"/>
    </row>
    <row r="12" spans="1:33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15"/>
      <c r="J12" s="16" t="s">
        <v>6</v>
      </c>
      <c r="K12" s="53" t="s">
        <v>6</v>
      </c>
      <c r="L12" s="57"/>
      <c r="M12" s="16" t="s">
        <v>6</v>
      </c>
      <c r="N12" s="16" t="s">
        <v>6</v>
      </c>
      <c r="O12" s="56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3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79" t="s">
        <v>13</v>
      </c>
      <c r="J13" s="21" t="s">
        <v>11</v>
      </c>
      <c r="K13" s="22" t="s">
        <v>12</v>
      </c>
      <c r="L13" s="81" t="s">
        <v>14</v>
      </c>
      <c r="M13" s="21" t="s">
        <v>11</v>
      </c>
      <c r="N13" s="21" t="s">
        <v>12</v>
      </c>
      <c r="O13" s="83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3" s="29" customFormat="1" x14ac:dyDescent="0.2">
      <c r="A14" s="26"/>
      <c r="B14" s="38">
        <v>150</v>
      </c>
      <c r="C14" s="76">
        <v>0.16</v>
      </c>
      <c r="D14" s="27">
        <v>0.76</v>
      </c>
      <c r="E14" s="42">
        <v>1.06</v>
      </c>
      <c r="F14" s="45">
        <v>0.80560000000000009</v>
      </c>
      <c r="G14" s="46">
        <v>3.14</v>
      </c>
      <c r="H14" s="47">
        <v>2.5295840000000003</v>
      </c>
      <c r="I14" s="43">
        <v>0.25832704000000001</v>
      </c>
      <c r="J14" s="28">
        <v>19.55</v>
      </c>
      <c r="K14" s="54">
        <v>5.0502936320000007</v>
      </c>
      <c r="L14" s="52">
        <v>0.52717696000000014</v>
      </c>
      <c r="M14" s="28">
        <v>2.23</v>
      </c>
      <c r="N14" s="49">
        <v>1.1756046208000004</v>
      </c>
      <c r="O14" s="43">
        <v>2.12</v>
      </c>
      <c r="P14" s="28">
        <v>5.67</v>
      </c>
      <c r="Q14" s="54">
        <v>0</v>
      </c>
      <c r="R14" s="59">
        <v>8.7554822528000003</v>
      </c>
      <c r="S14" s="62">
        <v>0.27842303999999996</v>
      </c>
      <c r="T14" s="60">
        <v>1.4792616115199997</v>
      </c>
      <c r="U14" s="62">
        <v>10.23474386432</v>
      </c>
      <c r="V14" s="60">
        <v>9.8699999999999992</v>
      </c>
      <c r="W14" s="67">
        <v>408</v>
      </c>
      <c r="X14" s="69">
        <v>10.199999999999999</v>
      </c>
      <c r="Y14" s="67">
        <v>30.304743864319999</v>
      </c>
      <c r="Z14" s="72">
        <f t="shared" ref="Z14:Z26" si="0">Y14*1.15</f>
        <v>34.850455443967995</v>
      </c>
      <c r="AA14" s="115">
        <v>73</v>
      </c>
      <c r="AB14" s="115">
        <v>72</v>
      </c>
      <c r="AC14" s="115">
        <v>15</v>
      </c>
      <c r="AD14" s="112">
        <f t="shared" ref="AD14:AD26" si="1">(Z14+AA14)*$AG$7</f>
        <v>107.850455443968</v>
      </c>
      <c r="AE14" s="112">
        <f t="shared" ref="AE14:AE26" si="2">(Z14+AB14)*$AG$7</f>
        <v>106.850455443968</v>
      </c>
      <c r="AF14" s="112">
        <f t="shared" ref="AF14:AF26" si="3">(Z14+AC14)*$AG$7</f>
        <v>49.850455443967995</v>
      </c>
    </row>
    <row r="15" spans="1:33" s="29" customFormat="1" x14ac:dyDescent="0.2">
      <c r="A15" s="26"/>
      <c r="B15" s="38">
        <v>200</v>
      </c>
      <c r="C15" s="76">
        <v>0.2</v>
      </c>
      <c r="D15" s="27">
        <v>0.8</v>
      </c>
      <c r="E15" s="42">
        <v>1.1000000000000001</v>
      </c>
      <c r="F15" s="48">
        <v>0.88000000000000012</v>
      </c>
      <c r="G15" s="28">
        <v>3.14</v>
      </c>
      <c r="H15" s="49">
        <v>2.7632000000000003</v>
      </c>
      <c r="I15" s="43">
        <v>0.29488000000000003</v>
      </c>
      <c r="J15" s="28">
        <v>19.55</v>
      </c>
      <c r="K15" s="54">
        <v>5.7649040000000005</v>
      </c>
      <c r="L15" s="52">
        <v>0.5537200000000001</v>
      </c>
      <c r="M15" s="28">
        <v>2.23</v>
      </c>
      <c r="N15" s="49">
        <v>1.2347956000000002</v>
      </c>
      <c r="O15" s="43">
        <v>2.2000000000000002</v>
      </c>
      <c r="P15" s="28">
        <v>5.67</v>
      </c>
      <c r="Q15" s="54">
        <v>0</v>
      </c>
      <c r="R15" s="60">
        <v>9.7628996000000008</v>
      </c>
      <c r="S15" s="62">
        <v>0.32628000000000001</v>
      </c>
      <c r="T15" s="60">
        <v>1.7335256399999999</v>
      </c>
      <c r="U15" s="62">
        <v>11.496425240000001</v>
      </c>
      <c r="V15" s="60">
        <v>11.9</v>
      </c>
      <c r="W15" s="67">
        <v>408</v>
      </c>
      <c r="X15" s="69">
        <v>10.199999999999999</v>
      </c>
      <c r="Y15" s="67">
        <v>33.596425240000002</v>
      </c>
      <c r="Z15" s="72">
        <f t="shared" si="0"/>
        <v>38.635889026000001</v>
      </c>
      <c r="AA15" s="116">
        <v>82</v>
      </c>
      <c r="AB15" s="116">
        <v>81</v>
      </c>
      <c r="AC15" s="116">
        <v>17</v>
      </c>
      <c r="AD15" s="113">
        <f t="shared" si="1"/>
        <v>120.635889026</v>
      </c>
      <c r="AE15" s="113">
        <f t="shared" si="2"/>
        <v>119.635889026</v>
      </c>
      <c r="AF15" s="113">
        <f t="shared" si="3"/>
        <v>55.635889026000001</v>
      </c>
    </row>
    <row r="16" spans="1:33" s="29" customFormat="1" x14ac:dyDescent="0.2">
      <c r="A16" s="26"/>
      <c r="B16" s="38">
        <v>250</v>
      </c>
      <c r="C16" s="76">
        <v>0.25</v>
      </c>
      <c r="D16" s="27">
        <v>0.85</v>
      </c>
      <c r="E16" s="42">
        <v>1.1500000000000001</v>
      </c>
      <c r="F16" s="48">
        <v>0.97750000000000004</v>
      </c>
      <c r="G16" s="28">
        <v>3.14</v>
      </c>
      <c r="H16" s="49">
        <v>3.06935</v>
      </c>
      <c r="I16" s="43">
        <v>0.340796875</v>
      </c>
      <c r="J16" s="28">
        <v>19.55</v>
      </c>
      <c r="K16" s="54">
        <v>6.6625789062500003</v>
      </c>
      <c r="L16" s="52">
        <v>0.58764062500000003</v>
      </c>
      <c r="M16" s="28">
        <v>2.23</v>
      </c>
      <c r="N16" s="49">
        <v>1.31043859375</v>
      </c>
      <c r="O16" s="43">
        <v>2.3000000000000003</v>
      </c>
      <c r="P16" s="28">
        <v>5.67</v>
      </c>
      <c r="Q16" s="54">
        <v>0</v>
      </c>
      <c r="R16" s="60">
        <v>11.042367500000001</v>
      </c>
      <c r="S16" s="62">
        <v>0.38985937500000001</v>
      </c>
      <c r="T16" s="60">
        <v>2.0713228593749999</v>
      </c>
      <c r="U16" s="62">
        <v>13.113690359375001</v>
      </c>
      <c r="V16" s="60">
        <v>17</v>
      </c>
      <c r="W16" s="67">
        <v>408</v>
      </c>
      <c r="X16" s="69">
        <v>10.199999999999999</v>
      </c>
      <c r="Y16" s="67">
        <v>40.313690359375002</v>
      </c>
      <c r="Z16" s="72">
        <f t="shared" si="0"/>
        <v>46.360743913281247</v>
      </c>
      <c r="AA16" s="116">
        <v>82</v>
      </c>
      <c r="AB16" s="116">
        <v>81</v>
      </c>
      <c r="AC16" s="116">
        <v>17</v>
      </c>
      <c r="AD16" s="113">
        <f t="shared" si="1"/>
        <v>128.36074391328125</v>
      </c>
      <c r="AE16" s="113">
        <f t="shared" si="2"/>
        <v>127.36074391328125</v>
      </c>
      <c r="AF16" s="113">
        <f t="shared" si="3"/>
        <v>63.360743913281247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1.2150000000000001</v>
      </c>
      <c r="F17" s="48">
        <v>1.1117250000000001</v>
      </c>
      <c r="G17" s="28">
        <v>3.14</v>
      </c>
      <c r="H17" s="49">
        <v>3.4908165000000002</v>
      </c>
      <c r="I17" s="43">
        <v>0.39995416312499998</v>
      </c>
      <c r="J17" s="28">
        <v>19.55</v>
      </c>
      <c r="K17" s="54">
        <v>7.8191038890937499</v>
      </c>
      <c r="L17" s="52">
        <v>0.63387921187500007</v>
      </c>
      <c r="M17" s="28">
        <v>2.23</v>
      </c>
      <c r="N17" s="49">
        <v>1.4135506424812501</v>
      </c>
      <c r="O17" s="43">
        <v>2.4300000000000002</v>
      </c>
      <c r="P17" s="28">
        <v>5.67</v>
      </c>
      <c r="Q17" s="54">
        <v>0</v>
      </c>
      <c r="R17" s="60">
        <v>12.723471031575</v>
      </c>
      <c r="S17" s="62">
        <v>0.477845788125</v>
      </c>
      <c r="T17" s="60">
        <v>2.5387946723081249</v>
      </c>
      <c r="U17" s="62">
        <v>15.262265703883125</v>
      </c>
      <c r="V17" s="60">
        <v>24.68</v>
      </c>
      <c r="W17" s="67">
        <v>408</v>
      </c>
      <c r="X17" s="69">
        <v>10.199999999999999</v>
      </c>
      <c r="Y17" s="67">
        <v>50.142265703883126</v>
      </c>
      <c r="Z17" s="72">
        <f t="shared" si="0"/>
        <v>57.663605559465587</v>
      </c>
      <c r="AA17" s="116">
        <v>91</v>
      </c>
      <c r="AB17" s="116">
        <v>90</v>
      </c>
      <c r="AC17" s="116">
        <v>19</v>
      </c>
      <c r="AD17" s="113">
        <f t="shared" si="1"/>
        <v>148.66360555946559</v>
      </c>
      <c r="AE17" s="113">
        <f t="shared" si="2"/>
        <v>147.66360555946559</v>
      </c>
      <c r="AF17" s="113">
        <f t="shared" si="3"/>
        <v>76.663605559465594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1.2550000000000001</v>
      </c>
      <c r="F18" s="48">
        <v>1.1985250000000001</v>
      </c>
      <c r="G18" s="28">
        <v>3.14</v>
      </c>
      <c r="H18" s="49">
        <v>3.7633685000000003</v>
      </c>
      <c r="I18" s="43">
        <v>0.43554720812499992</v>
      </c>
      <c r="J18" s="28">
        <v>19.55</v>
      </c>
      <c r="K18" s="54">
        <v>8.5149479188437489</v>
      </c>
      <c r="L18" s="52">
        <v>0.66404816687500012</v>
      </c>
      <c r="M18" s="28">
        <v>2.23</v>
      </c>
      <c r="N18" s="49">
        <v>1.4808274121312504</v>
      </c>
      <c r="O18" s="43">
        <v>2.5100000000000002</v>
      </c>
      <c r="P18" s="28">
        <v>5.67</v>
      </c>
      <c r="Q18" s="54">
        <v>0</v>
      </c>
      <c r="R18" s="60">
        <v>13.759143830974999</v>
      </c>
      <c r="S18" s="62">
        <v>0.53447683312499994</v>
      </c>
      <c r="T18" s="60">
        <v>2.8396754143931244</v>
      </c>
      <c r="U18" s="62">
        <v>16.598819245368123</v>
      </c>
      <c r="V18" s="60">
        <v>31.35</v>
      </c>
      <c r="W18" s="67">
        <v>408</v>
      </c>
      <c r="X18" s="69">
        <v>10.199999999999999</v>
      </c>
      <c r="Y18" s="67">
        <v>58.148819245368131</v>
      </c>
      <c r="Z18" s="72">
        <f t="shared" si="0"/>
        <v>66.871142132173347</v>
      </c>
      <c r="AA18" s="116">
        <v>91</v>
      </c>
      <c r="AB18" s="116">
        <v>90</v>
      </c>
      <c r="AC18" s="116">
        <v>19</v>
      </c>
      <c r="AD18" s="113">
        <f t="shared" si="1"/>
        <v>157.87114213217336</v>
      </c>
      <c r="AE18" s="113">
        <f t="shared" si="2"/>
        <v>156.87114213217336</v>
      </c>
      <c r="AF18" s="113">
        <f t="shared" si="3"/>
        <v>85.871142132173347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1.3</v>
      </c>
      <c r="F19" s="48">
        <v>1.3</v>
      </c>
      <c r="G19" s="28">
        <v>3.14</v>
      </c>
      <c r="H19" s="49">
        <v>4.0820000000000007</v>
      </c>
      <c r="I19" s="43">
        <v>0.47440000000000004</v>
      </c>
      <c r="J19" s="28">
        <v>19.55</v>
      </c>
      <c r="K19" s="54">
        <v>9.2745200000000008</v>
      </c>
      <c r="L19" s="52">
        <v>0.7</v>
      </c>
      <c r="M19" s="28">
        <v>2.23</v>
      </c>
      <c r="N19" s="49">
        <v>1.5609999999999999</v>
      </c>
      <c r="O19" s="43">
        <v>2.6</v>
      </c>
      <c r="P19" s="28">
        <v>5.67</v>
      </c>
      <c r="Q19" s="54">
        <v>0</v>
      </c>
      <c r="R19" s="60">
        <v>14.917520000000001</v>
      </c>
      <c r="S19" s="62">
        <v>0.60000000000000009</v>
      </c>
      <c r="T19" s="60">
        <v>3.1878000000000002</v>
      </c>
      <c r="U19" s="62">
        <v>18.105320000000003</v>
      </c>
      <c r="V19" s="60">
        <v>38.44</v>
      </c>
      <c r="W19" s="67">
        <v>408</v>
      </c>
      <c r="X19" s="69">
        <v>10.199999999999999</v>
      </c>
      <c r="Y19" s="67">
        <v>66.745320000000007</v>
      </c>
      <c r="Z19" s="72">
        <f t="shared" si="0"/>
        <v>76.757118000000006</v>
      </c>
      <c r="AA19" s="116">
        <v>105</v>
      </c>
      <c r="AB19" s="116">
        <v>103</v>
      </c>
      <c r="AC19" s="116">
        <v>22</v>
      </c>
      <c r="AD19" s="113">
        <f t="shared" si="1"/>
        <v>181.75711799999999</v>
      </c>
      <c r="AE19" s="113">
        <f t="shared" si="2"/>
        <v>179.75711799999999</v>
      </c>
      <c r="AF19" s="113">
        <f t="shared" si="3"/>
        <v>98.757118000000006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1.4000000000000001</v>
      </c>
      <c r="F20" s="48">
        <v>1.5400000000000003</v>
      </c>
      <c r="G20" s="28">
        <v>3.14</v>
      </c>
      <c r="H20" s="49">
        <v>4.8356000000000012</v>
      </c>
      <c r="I20" s="43">
        <v>0.55412499999999998</v>
      </c>
      <c r="J20" s="28">
        <v>19.55</v>
      </c>
      <c r="K20" s="54">
        <v>10.83314375</v>
      </c>
      <c r="L20" s="52">
        <v>0.78962500000000024</v>
      </c>
      <c r="M20" s="28">
        <v>2.23</v>
      </c>
      <c r="N20" s="49">
        <v>1.7608637500000006</v>
      </c>
      <c r="O20" s="43">
        <v>2.8000000000000003</v>
      </c>
      <c r="P20" s="28">
        <v>5.67</v>
      </c>
      <c r="Q20" s="54">
        <v>15.876000000000001</v>
      </c>
      <c r="R20" s="60">
        <v>17.429607500000003</v>
      </c>
      <c r="S20" s="62">
        <v>0.75037500000000001</v>
      </c>
      <c r="T20" s="60">
        <v>3.9867423749999999</v>
      </c>
      <c r="U20" s="62">
        <v>37.292349875000006</v>
      </c>
      <c r="V20" s="60">
        <v>70.239999999999995</v>
      </c>
      <c r="W20" s="67">
        <v>408</v>
      </c>
      <c r="X20" s="69">
        <v>10.199999999999999</v>
      </c>
      <c r="Y20" s="67">
        <v>117.732349875</v>
      </c>
      <c r="Z20" s="72">
        <f t="shared" si="0"/>
        <v>135.39220235624998</v>
      </c>
      <c r="AA20" s="116">
        <v>105</v>
      </c>
      <c r="AB20" s="116">
        <v>103</v>
      </c>
      <c r="AC20" s="116">
        <v>22</v>
      </c>
      <c r="AD20" s="113">
        <f t="shared" si="1"/>
        <v>240.39220235624998</v>
      </c>
      <c r="AE20" s="113">
        <f t="shared" si="2"/>
        <v>238.39220235624998</v>
      </c>
      <c r="AF20" s="113">
        <f t="shared" si="3"/>
        <v>157.39220235624998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85">
        <v>1.5000000000000002</v>
      </c>
      <c r="F21" s="50">
        <v>1.8000000000000003</v>
      </c>
      <c r="G21" s="32">
        <v>3.14</v>
      </c>
      <c r="H21" s="51">
        <v>5.652000000000001</v>
      </c>
      <c r="I21" s="44">
        <v>0.6208800000000001</v>
      </c>
      <c r="J21" s="32">
        <v>19.55</v>
      </c>
      <c r="K21" s="55">
        <v>12.138204000000002</v>
      </c>
      <c r="L21" s="58">
        <v>0.89652000000000021</v>
      </c>
      <c r="M21" s="32">
        <v>2.23</v>
      </c>
      <c r="N21" s="51">
        <v>1.9992396000000003</v>
      </c>
      <c r="O21" s="44">
        <v>3.0000000000000004</v>
      </c>
      <c r="P21" s="32">
        <v>5.67</v>
      </c>
      <c r="Q21" s="55">
        <v>17.010000000000002</v>
      </c>
      <c r="R21" s="61">
        <v>19.789443600000002</v>
      </c>
      <c r="S21" s="63">
        <v>0.90348000000000006</v>
      </c>
      <c r="T21" s="61">
        <v>4.8001892399999999</v>
      </c>
      <c r="U21" s="63">
        <v>41.599632840000005</v>
      </c>
      <c r="V21" s="61">
        <v>87.89</v>
      </c>
      <c r="W21" s="68">
        <v>408</v>
      </c>
      <c r="X21" s="70">
        <v>10.199999999999999</v>
      </c>
      <c r="Y21" s="68">
        <v>139.68963284</v>
      </c>
      <c r="Z21" s="72">
        <f t="shared" si="0"/>
        <v>160.64307776599998</v>
      </c>
      <c r="AA21" s="116">
        <v>123</v>
      </c>
      <c r="AB21" s="116">
        <v>121</v>
      </c>
      <c r="AC21" s="116">
        <v>26</v>
      </c>
      <c r="AD21" s="113">
        <f t="shared" si="1"/>
        <v>283.64307776599998</v>
      </c>
      <c r="AE21" s="113">
        <f t="shared" si="2"/>
        <v>281.64307776599998</v>
      </c>
      <c r="AF21" s="113">
        <f t="shared" si="3"/>
        <v>186.64307776599998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1.6</v>
      </c>
      <c r="F22" s="52">
        <v>2.0799999999999996</v>
      </c>
      <c r="G22" s="28">
        <v>3.14</v>
      </c>
      <c r="H22" s="49">
        <v>6.5311999999999992</v>
      </c>
      <c r="I22" s="43">
        <v>0.66995499999999986</v>
      </c>
      <c r="J22" s="28">
        <v>19.55</v>
      </c>
      <c r="K22" s="54">
        <v>13.097620249999999</v>
      </c>
      <c r="L22" s="52">
        <v>1.0253949999999998</v>
      </c>
      <c r="M22" s="28">
        <v>2.23</v>
      </c>
      <c r="N22" s="49">
        <v>2.2866308499999994</v>
      </c>
      <c r="O22" s="43">
        <v>3.2</v>
      </c>
      <c r="P22" s="28">
        <v>5.67</v>
      </c>
      <c r="Q22" s="54">
        <v>18.144000000000002</v>
      </c>
      <c r="R22" s="60">
        <v>21.915451099999995</v>
      </c>
      <c r="S22" s="62">
        <v>1.0546049999999998</v>
      </c>
      <c r="T22" s="60">
        <v>5.6031163649999982</v>
      </c>
      <c r="U22" s="62">
        <v>45.662567464999995</v>
      </c>
      <c r="V22" s="60">
        <v>114.2</v>
      </c>
      <c r="W22" s="67">
        <v>492</v>
      </c>
      <c r="X22" s="69">
        <v>12.3</v>
      </c>
      <c r="Y22" s="67">
        <v>172.162567465</v>
      </c>
      <c r="Z22" s="72">
        <f t="shared" si="0"/>
        <v>197.98695258474999</v>
      </c>
      <c r="AA22" s="116">
        <v>123</v>
      </c>
      <c r="AB22" s="116">
        <v>121</v>
      </c>
      <c r="AC22" s="116">
        <v>26</v>
      </c>
      <c r="AD22" s="113">
        <f t="shared" si="1"/>
        <v>320.98695258474999</v>
      </c>
      <c r="AE22" s="113">
        <f t="shared" si="2"/>
        <v>318.98695258474999</v>
      </c>
      <c r="AF22" s="113">
        <f t="shared" si="3"/>
        <v>223.98695258474999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1.7000000000000002</v>
      </c>
      <c r="F23" s="48">
        <v>2.38</v>
      </c>
      <c r="G23" s="28">
        <v>3.14</v>
      </c>
      <c r="H23" s="49">
        <v>7.4732000000000003</v>
      </c>
      <c r="I23" s="43">
        <v>0.69663999999999981</v>
      </c>
      <c r="J23" s="28">
        <v>19.55</v>
      </c>
      <c r="K23" s="54">
        <v>13.619311999999997</v>
      </c>
      <c r="L23" s="52">
        <v>1.1809599999999998</v>
      </c>
      <c r="M23" s="28">
        <v>2.23</v>
      </c>
      <c r="N23" s="49">
        <v>2.6335407999999996</v>
      </c>
      <c r="O23" s="43">
        <v>3.4000000000000004</v>
      </c>
      <c r="P23" s="28">
        <v>5.67</v>
      </c>
      <c r="Q23" s="54">
        <v>19.278000000000002</v>
      </c>
      <c r="R23" s="60">
        <v>23.726052799999998</v>
      </c>
      <c r="S23" s="62">
        <v>1.1990400000000001</v>
      </c>
      <c r="T23" s="60">
        <v>6.3704995200000001</v>
      </c>
      <c r="U23" s="62">
        <v>49.374552319999999</v>
      </c>
      <c r="V23" s="60">
        <v>140.9</v>
      </c>
      <c r="W23" s="67">
        <v>492</v>
      </c>
      <c r="X23" s="69">
        <v>12.3</v>
      </c>
      <c r="Y23" s="67">
        <v>202.57455232000001</v>
      </c>
      <c r="Z23" s="72">
        <f t="shared" si="0"/>
        <v>232.96073516799999</v>
      </c>
      <c r="AA23" s="116">
        <v>145</v>
      </c>
      <c r="AB23" s="116">
        <v>143</v>
      </c>
      <c r="AC23" s="116">
        <v>30</v>
      </c>
      <c r="AD23" s="113">
        <f t="shared" si="1"/>
        <v>377.96073516799999</v>
      </c>
      <c r="AE23" s="113">
        <f t="shared" si="2"/>
        <v>375.96073516799999</v>
      </c>
      <c r="AF23" s="113">
        <f t="shared" si="3"/>
        <v>262.96073516799999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1.8</v>
      </c>
      <c r="F24" s="48">
        <v>2.7</v>
      </c>
      <c r="G24" s="28">
        <v>3.14</v>
      </c>
      <c r="H24" s="49">
        <v>8.4780000000000015</v>
      </c>
      <c r="I24" s="43">
        <v>0.69622500000000009</v>
      </c>
      <c r="J24" s="28">
        <v>19.55</v>
      </c>
      <c r="K24" s="54">
        <v>13.611198750000002</v>
      </c>
      <c r="L24" s="52">
        <v>1.3679250000000001</v>
      </c>
      <c r="M24" s="28">
        <v>2.23</v>
      </c>
      <c r="N24" s="49">
        <v>3.05047275</v>
      </c>
      <c r="O24" s="43">
        <v>3.6</v>
      </c>
      <c r="P24" s="28">
        <v>5.67</v>
      </c>
      <c r="Q24" s="54">
        <v>20.411999999999999</v>
      </c>
      <c r="R24" s="60">
        <v>25.139671500000002</v>
      </c>
      <c r="S24" s="62">
        <v>1.3320750000000001</v>
      </c>
      <c r="T24" s="60">
        <v>7.0773144750000005</v>
      </c>
      <c r="U24" s="62">
        <v>52.628985974999999</v>
      </c>
      <c r="V24" s="60">
        <v>149</v>
      </c>
      <c r="W24" s="67">
        <v>492</v>
      </c>
      <c r="X24" s="69">
        <v>12.3</v>
      </c>
      <c r="Y24" s="67">
        <v>213.92898597500002</v>
      </c>
      <c r="Z24" s="72">
        <f t="shared" si="0"/>
        <v>246.01833387125001</v>
      </c>
      <c r="AA24" s="116">
        <v>145</v>
      </c>
      <c r="AB24" s="116">
        <v>143</v>
      </c>
      <c r="AC24" s="116">
        <v>30</v>
      </c>
      <c r="AD24" s="113">
        <f t="shared" si="1"/>
        <v>391.01833387124998</v>
      </c>
      <c r="AE24" s="113">
        <f t="shared" si="2"/>
        <v>389.01833387124998</v>
      </c>
      <c r="AF24" s="113">
        <f t="shared" si="3"/>
        <v>276.01833387124998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1.9000000000000001</v>
      </c>
      <c r="F25" s="48">
        <v>3.0400000000000005</v>
      </c>
      <c r="G25" s="28">
        <v>3.14</v>
      </c>
      <c r="H25" s="49">
        <v>9.5456000000000021</v>
      </c>
      <c r="I25" s="43">
        <v>0.66399999999999992</v>
      </c>
      <c r="J25" s="28">
        <v>19.55</v>
      </c>
      <c r="K25" s="54">
        <v>12.981199999999999</v>
      </c>
      <c r="L25" s="52">
        <v>1.5910000000000002</v>
      </c>
      <c r="M25" s="28">
        <v>2.23</v>
      </c>
      <c r="N25" s="49">
        <v>3.5479300000000005</v>
      </c>
      <c r="O25" s="43">
        <v>3.8000000000000003</v>
      </c>
      <c r="P25" s="28">
        <v>5.67</v>
      </c>
      <c r="Q25" s="54">
        <v>21.546000000000003</v>
      </c>
      <c r="R25" s="60">
        <v>26.074730000000002</v>
      </c>
      <c r="S25" s="62">
        <v>1.4490000000000003</v>
      </c>
      <c r="T25" s="60">
        <v>7.6985370000000017</v>
      </c>
      <c r="U25" s="62">
        <v>55.319267000000011</v>
      </c>
      <c r="V25" s="60">
        <v>166.5</v>
      </c>
      <c r="W25" s="67">
        <v>492</v>
      </c>
      <c r="X25" s="69">
        <v>12.3</v>
      </c>
      <c r="Y25" s="67">
        <v>234.11926700000004</v>
      </c>
      <c r="Z25" s="72">
        <f t="shared" si="0"/>
        <v>269.23715705000001</v>
      </c>
      <c r="AA25" s="116">
        <v>171</v>
      </c>
      <c r="AB25" s="116">
        <v>169</v>
      </c>
      <c r="AC25" s="116">
        <v>34</v>
      </c>
      <c r="AD25" s="113">
        <f t="shared" si="1"/>
        <v>440.23715705000001</v>
      </c>
      <c r="AE25" s="113">
        <f t="shared" si="2"/>
        <v>438.23715705000001</v>
      </c>
      <c r="AF25" s="113">
        <f t="shared" si="3"/>
        <v>303.23715705000001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2.15</v>
      </c>
      <c r="F26" s="50">
        <v>3.9775</v>
      </c>
      <c r="G26" s="32">
        <v>3.14</v>
      </c>
      <c r="H26" s="51">
        <v>12.48935</v>
      </c>
      <c r="I26" s="44">
        <v>0.41335937499999992</v>
      </c>
      <c r="J26" s="32">
        <v>19.55</v>
      </c>
      <c r="K26" s="55">
        <v>8.081175781249998</v>
      </c>
      <c r="L26" s="58">
        <v>2.3375781250000003</v>
      </c>
      <c r="M26" s="32">
        <v>2.23</v>
      </c>
      <c r="N26" s="51">
        <v>5.2127992187500007</v>
      </c>
      <c r="O26" s="44">
        <v>4.3</v>
      </c>
      <c r="P26" s="32">
        <v>5.67</v>
      </c>
      <c r="Q26" s="55">
        <v>24.381</v>
      </c>
      <c r="R26" s="61">
        <v>25.783324999999998</v>
      </c>
      <c r="S26" s="63">
        <v>1.6399218749999998</v>
      </c>
      <c r="T26" s="61">
        <v>8.7129049218749994</v>
      </c>
      <c r="U26" s="63">
        <v>58.877229921874999</v>
      </c>
      <c r="V26" s="61">
        <v>203.43</v>
      </c>
      <c r="W26" s="68">
        <v>492</v>
      </c>
      <c r="X26" s="71">
        <v>12.3</v>
      </c>
      <c r="Y26" s="68">
        <v>274.60722992187499</v>
      </c>
      <c r="Z26" s="72">
        <f t="shared" si="0"/>
        <v>315.79831441015619</v>
      </c>
      <c r="AA26" s="117">
        <v>171</v>
      </c>
      <c r="AB26" s="117">
        <v>169</v>
      </c>
      <c r="AC26" s="117">
        <v>34</v>
      </c>
      <c r="AD26" s="114">
        <f t="shared" si="1"/>
        <v>486.79831441015619</v>
      </c>
      <c r="AE26" s="114">
        <f t="shared" si="2"/>
        <v>484.79831441015619</v>
      </c>
      <c r="AF26" s="114">
        <f t="shared" si="3"/>
        <v>349.79831441015619</v>
      </c>
    </row>
    <row r="28" spans="1:32" x14ac:dyDescent="0.2">
      <c r="A28" s="7"/>
      <c r="B28" s="8" t="s">
        <v>140</v>
      </c>
      <c r="C28" s="8"/>
      <c r="D28" s="7"/>
      <c r="E28" s="35"/>
      <c r="F28" s="35"/>
      <c r="G28" s="35"/>
      <c r="J28" s="35"/>
      <c r="K28" s="8"/>
    </row>
    <row r="29" spans="1:32" ht="13.5" thickBot="1" x14ac:dyDescent="0.25">
      <c r="A29" s="7"/>
      <c r="B29" s="8"/>
      <c r="C29" s="3"/>
      <c r="D29" s="2"/>
    </row>
    <row r="30" spans="1:32" s="9" customFormat="1" ht="54" customHeight="1" thickBot="1" x14ac:dyDescent="0.25">
      <c r="B30" s="1059" t="s">
        <v>24</v>
      </c>
      <c r="C30" s="1060"/>
      <c r="D30" s="1060"/>
      <c r="E30" s="1061"/>
      <c r="F30" s="1059" t="s">
        <v>1</v>
      </c>
      <c r="G30" s="1060"/>
      <c r="H30" s="1061"/>
      <c r="I30" s="1059" t="s">
        <v>2</v>
      </c>
      <c r="J30" s="1060"/>
      <c r="K30" s="1061"/>
      <c r="L30" s="1059" t="s">
        <v>3</v>
      </c>
      <c r="M30" s="1060"/>
      <c r="N30" s="1061"/>
      <c r="O30" s="1059" t="s">
        <v>4</v>
      </c>
      <c r="P30" s="1060"/>
      <c r="Q30" s="1060"/>
      <c r="R30" s="10" t="s">
        <v>19</v>
      </c>
      <c r="S30" s="10" t="s">
        <v>36</v>
      </c>
      <c r="T30" s="10" t="s">
        <v>32</v>
      </c>
      <c r="U30" s="10" t="s">
        <v>5</v>
      </c>
      <c r="V30" s="10" t="s">
        <v>18</v>
      </c>
      <c r="W30" s="10" t="s">
        <v>37</v>
      </c>
      <c r="X30" s="10" t="s">
        <v>20</v>
      </c>
      <c r="Y30" s="152" t="s">
        <v>23</v>
      </c>
      <c r="Z30" s="19" t="s">
        <v>39</v>
      </c>
      <c r="AA30" s="1059" t="s">
        <v>93</v>
      </c>
      <c r="AB30" s="1060"/>
      <c r="AC30" s="1061"/>
      <c r="AD30" s="1062" t="s">
        <v>97</v>
      </c>
      <c r="AE30" s="1063"/>
      <c r="AF30" s="1064"/>
    </row>
    <row r="31" spans="1:32" s="20" customFormat="1" ht="13.5" thickBot="1" x14ac:dyDescent="0.25">
      <c r="A31" s="12"/>
      <c r="B31" s="13"/>
      <c r="C31" s="14"/>
      <c r="D31" s="15"/>
      <c r="E31" s="84"/>
      <c r="F31" s="57"/>
      <c r="G31" s="16" t="s">
        <v>6</v>
      </c>
      <c r="H31" s="16" t="s">
        <v>6</v>
      </c>
      <c r="I31" s="56"/>
      <c r="J31" s="16" t="s">
        <v>6</v>
      </c>
      <c r="K31" s="53" t="s">
        <v>6</v>
      </c>
      <c r="L31" s="57"/>
      <c r="M31" s="16" t="s">
        <v>6</v>
      </c>
      <c r="N31" s="16" t="s">
        <v>6</v>
      </c>
      <c r="O31" s="56"/>
      <c r="P31" s="16" t="s">
        <v>6</v>
      </c>
      <c r="Q31" s="53" t="s">
        <v>6</v>
      </c>
      <c r="R31" s="19" t="s">
        <v>6</v>
      </c>
      <c r="S31" s="64"/>
      <c r="T31" s="66" t="s">
        <v>33</v>
      </c>
      <c r="U31" s="64" t="s">
        <v>6</v>
      </c>
      <c r="V31" s="19"/>
      <c r="W31" s="64"/>
      <c r="X31" s="19"/>
      <c r="Y31" s="64"/>
      <c r="Z31" s="19" t="s">
        <v>6</v>
      </c>
      <c r="AA31" s="80" t="s">
        <v>6</v>
      </c>
      <c r="AB31" s="80" t="s">
        <v>6</v>
      </c>
      <c r="AC31" s="80" t="s">
        <v>6</v>
      </c>
      <c r="AD31" s="108" t="s">
        <v>6</v>
      </c>
      <c r="AE31" s="109" t="s">
        <v>6</v>
      </c>
      <c r="AF31" s="110" t="s">
        <v>6</v>
      </c>
    </row>
    <row r="32" spans="1:32" s="9" customFormat="1" ht="51.75" thickBot="1" x14ac:dyDescent="0.25">
      <c r="A32" s="80"/>
      <c r="B32" s="81" t="s">
        <v>7</v>
      </c>
      <c r="C32" s="82" t="s">
        <v>8</v>
      </c>
      <c r="D32" s="79" t="s">
        <v>9</v>
      </c>
      <c r="E32" s="22" t="s">
        <v>30</v>
      </c>
      <c r="F32" s="81" t="s">
        <v>10</v>
      </c>
      <c r="G32" s="21" t="s">
        <v>11</v>
      </c>
      <c r="H32" s="21" t="s">
        <v>12</v>
      </c>
      <c r="I32" s="83" t="s">
        <v>13</v>
      </c>
      <c r="J32" s="21" t="s">
        <v>11</v>
      </c>
      <c r="K32" s="22" t="s">
        <v>12</v>
      </c>
      <c r="L32" s="81" t="s">
        <v>14</v>
      </c>
      <c r="M32" s="21" t="s">
        <v>11</v>
      </c>
      <c r="N32" s="21" t="s">
        <v>12</v>
      </c>
      <c r="O32" s="83" t="s">
        <v>15</v>
      </c>
      <c r="P32" s="21" t="s">
        <v>16</v>
      </c>
      <c r="Q32" s="22" t="s">
        <v>12</v>
      </c>
      <c r="R32" s="23" t="s">
        <v>12</v>
      </c>
      <c r="S32" s="65" t="s">
        <v>34</v>
      </c>
      <c r="T32" s="23" t="s">
        <v>35</v>
      </c>
      <c r="U32" s="65" t="s">
        <v>12</v>
      </c>
      <c r="V32" s="23" t="s">
        <v>21</v>
      </c>
      <c r="W32" s="65" t="s">
        <v>22</v>
      </c>
      <c r="X32" s="23" t="s">
        <v>21</v>
      </c>
      <c r="Y32" s="65" t="s">
        <v>12</v>
      </c>
      <c r="Z32" s="23" t="s">
        <v>12</v>
      </c>
      <c r="AA32" s="107" t="s">
        <v>94</v>
      </c>
      <c r="AB32" s="107" t="s">
        <v>95</v>
      </c>
      <c r="AC32" s="107" t="s">
        <v>96</v>
      </c>
      <c r="AD32" s="111" t="s">
        <v>94</v>
      </c>
      <c r="AE32" s="111" t="s">
        <v>95</v>
      </c>
      <c r="AF32" s="111" t="s">
        <v>96</v>
      </c>
    </row>
    <row r="33" spans="1:32" s="29" customFormat="1" x14ac:dyDescent="0.2">
      <c r="A33" s="26"/>
      <c r="B33" s="38">
        <v>150</v>
      </c>
      <c r="C33" s="76">
        <v>0.16</v>
      </c>
      <c r="D33" s="27">
        <v>0.76</v>
      </c>
      <c r="E33" s="42">
        <v>1.56</v>
      </c>
      <c r="F33" s="48">
        <v>1.1856</v>
      </c>
      <c r="G33" s="28">
        <v>3.14</v>
      </c>
      <c r="H33" s="49">
        <v>3.7227840000000003</v>
      </c>
      <c r="I33" s="43">
        <v>0.25832704000000001</v>
      </c>
      <c r="J33" s="28">
        <v>19.55</v>
      </c>
      <c r="K33" s="54">
        <v>5.0502936320000007</v>
      </c>
      <c r="L33" s="52">
        <v>0.90717696000000003</v>
      </c>
      <c r="M33" s="28">
        <v>2.23</v>
      </c>
      <c r="N33" s="49">
        <v>2.0230046208000001</v>
      </c>
      <c r="O33" s="43">
        <v>3.12</v>
      </c>
      <c r="P33" s="28">
        <v>5.67</v>
      </c>
      <c r="Q33" s="54">
        <v>17.6904</v>
      </c>
      <c r="R33" s="60">
        <v>10.796082252800002</v>
      </c>
      <c r="S33" s="62">
        <v>0.27842303999999996</v>
      </c>
      <c r="T33" s="60">
        <v>1.4792616115199997</v>
      </c>
      <c r="U33" s="62">
        <v>29.96574386432</v>
      </c>
      <c r="V33" s="60">
        <v>9.8699999999999992</v>
      </c>
      <c r="W33" s="67">
        <v>408</v>
      </c>
      <c r="X33" s="69">
        <v>10.199999999999999</v>
      </c>
      <c r="Y33" s="67">
        <v>50.035743864319997</v>
      </c>
      <c r="Z33" s="72">
        <f t="shared" ref="Z33:Z45" si="4">Y33*1.15</f>
        <v>57.541105443967993</v>
      </c>
      <c r="AA33" s="115">
        <v>73</v>
      </c>
      <c r="AB33" s="115">
        <v>72</v>
      </c>
      <c r="AC33" s="115">
        <v>15</v>
      </c>
      <c r="AD33" s="112">
        <f t="shared" ref="AD33:AD45" si="5">(Z33+AA33)*$AG$7</f>
        <v>130.54110544396798</v>
      </c>
      <c r="AE33" s="112">
        <f t="shared" ref="AE33:AE45" si="6">(Z33+AB33)*$AG$7</f>
        <v>129.54110544396798</v>
      </c>
      <c r="AF33" s="112">
        <f t="shared" ref="AF33:AF45" si="7">(Z33+AC33)*$AG$7</f>
        <v>72.541105443967993</v>
      </c>
    </row>
    <row r="34" spans="1:32" s="29" customFormat="1" x14ac:dyDescent="0.2">
      <c r="A34" s="26"/>
      <c r="B34" s="38">
        <v>200</v>
      </c>
      <c r="C34" s="76">
        <v>0.2</v>
      </c>
      <c r="D34" s="27">
        <v>0.8</v>
      </c>
      <c r="E34" s="42">
        <v>1.6</v>
      </c>
      <c r="F34" s="48">
        <v>1.2800000000000002</v>
      </c>
      <c r="G34" s="28">
        <v>3.14</v>
      </c>
      <c r="H34" s="49">
        <v>4.0192000000000005</v>
      </c>
      <c r="I34" s="43">
        <v>0.29488000000000003</v>
      </c>
      <c r="J34" s="28">
        <v>19.55</v>
      </c>
      <c r="K34" s="54">
        <v>5.7649040000000005</v>
      </c>
      <c r="L34" s="52">
        <v>0.95372000000000023</v>
      </c>
      <c r="M34" s="28">
        <v>2.23</v>
      </c>
      <c r="N34" s="49">
        <v>2.1267956000000003</v>
      </c>
      <c r="O34" s="43">
        <v>3.2</v>
      </c>
      <c r="P34" s="28">
        <v>5.67</v>
      </c>
      <c r="Q34" s="54">
        <v>18.144000000000002</v>
      </c>
      <c r="R34" s="60">
        <v>11.9108996</v>
      </c>
      <c r="S34" s="62">
        <v>0.32628000000000001</v>
      </c>
      <c r="T34" s="60">
        <v>1.7335256399999999</v>
      </c>
      <c r="U34" s="62">
        <v>31.788425240000002</v>
      </c>
      <c r="V34" s="60">
        <v>11.9</v>
      </c>
      <c r="W34" s="67">
        <v>408</v>
      </c>
      <c r="X34" s="69">
        <v>10.199999999999999</v>
      </c>
      <c r="Y34" s="67">
        <v>53.888425240000004</v>
      </c>
      <c r="Z34" s="72">
        <f t="shared" si="4"/>
        <v>61.971689026</v>
      </c>
      <c r="AA34" s="116">
        <v>82</v>
      </c>
      <c r="AB34" s="116">
        <v>81</v>
      </c>
      <c r="AC34" s="116">
        <v>17</v>
      </c>
      <c r="AD34" s="113">
        <f t="shared" si="5"/>
        <v>143.97168902600001</v>
      </c>
      <c r="AE34" s="113">
        <f t="shared" si="6"/>
        <v>142.97168902600001</v>
      </c>
      <c r="AF34" s="113">
        <f t="shared" si="7"/>
        <v>78.971689026000007</v>
      </c>
    </row>
    <row r="35" spans="1:32" s="29" customFormat="1" x14ac:dyDescent="0.2">
      <c r="A35" s="26"/>
      <c r="B35" s="38">
        <v>250</v>
      </c>
      <c r="C35" s="76">
        <v>0.25</v>
      </c>
      <c r="D35" s="27">
        <v>0.85</v>
      </c>
      <c r="E35" s="42">
        <v>1.6500000000000001</v>
      </c>
      <c r="F35" s="48">
        <v>1.4025000000000001</v>
      </c>
      <c r="G35" s="28">
        <v>3.14</v>
      </c>
      <c r="H35" s="49">
        <v>4.4038500000000003</v>
      </c>
      <c r="I35" s="43">
        <v>0.340796875</v>
      </c>
      <c r="J35" s="28">
        <v>19.55</v>
      </c>
      <c r="K35" s="54">
        <v>6.6625789062500003</v>
      </c>
      <c r="L35" s="52">
        <v>1.0126406250000002</v>
      </c>
      <c r="M35" s="28">
        <v>2.23</v>
      </c>
      <c r="N35" s="49">
        <v>2.2581885937500004</v>
      </c>
      <c r="O35" s="43">
        <v>3.3000000000000003</v>
      </c>
      <c r="P35" s="28">
        <v>5.67</v>
      </c>
      <c r="Q35" s="54">
        <v>18.711000000000002</v>
      </c>
      <c r="R35" s="60">
        <v>13.3246175</v>
      </c>
      <c r="S35" s="62">
        <v>0.3898593749999999</v>
      </c>
      <c r="T35" s="60">
        <v>2.0713228593749995</v>
      </c>
      <c r="U35" s="62">
        <v>34.106940359375002</v>
      </c>
      <c r="V35" s="60">
        <v>17</v>
      </c>
      <c r="W35" s="67">
        <v>408</v>
      </c>
      <c r="X35" s="69">
        <v>10.199999999999999</v>
      </c>
      <c r="Y35" s="67">
        <v>61.306940359375005</v>
      </c>
      <c r="Z35" s="72">
        <f t="shared" si="4"/>
        <v>70.502981413281248</v>
      </c>
      <c r="AA35" s="116">
        <v>82</v>
      </c>
      <c r="AB35" s="116">
        <v>81</v>
      </c>
      <c r="AC35" s="116">
        <v>17</v>
      </c>
      <c r="AD35" s="113">
        <f t="shared" si="5"/>
        <v>152.50298141328125</v>
      </c>
      <c r="AE35" s="113">
        <f t="shared" si="6"/>
        <v>151.50298141328125</v>
      </c>
      <c r="AF35" s="113">
        <f t="shared" si="7"/>
        <v>87.502981413281248</v>
      </c>
    </row>
    <row r="36" spans="1:32" s="29" customFormat="1" x14ac:dyDescent="0.2">
      <c r="A36" s="26"/>
      <c r="B36" s="38">
        <v>300</v>
      </c>
      <c r="C36" s="76">
        <v>0.315</v>
      </c>
      <c r="D36" s="27">
        <v>0.91500000000000004</v>
      </c>
      <c r="E36" s="42">
        <v>1.7150000000000001</v>
      </c>
      <c r="F36" s="48">
        <v>1.5692250000000001</v>
      </c>
      <c r="G36" s="28">
        <v>3.14</v>
      </c>
      <c r="H36" s="49">
        <v>4.9273665000000006</v>
      </c>
      <c r="I36" s="43">
        <v>0.39995416312499998</v>
      </c>
      <c r="J36" s="28">
        <v>19.55</v>
      </c>
      <c r="K36" s="54">
        <v>7.8191038890937499</v>
      </c>
      <c r="L36" s="52">
        <v>1.0913792118750001</v>
      </c>
      <c r="M36" s="28">
        <v>2.23</v>
      </c>
      <c r="N36" s="49">
        <v>2.4337756424812502</v>
      </c>
      <c r="O36" s="43">
        <v>3.43</v>
      </c>
      <c r="P36" s="28">
        <v>5.67</v>
      </c>
      <c r="Q36" s="54">
        <v>19.4481</v>
      </c>
      <c r="R36" s="60">
        <v>15.180246031575003</v>
      </c>
      <c r="S36" s="62">
        <v>0.477845788125</v>
      </c>
      <c r="T36" s="60">
        <v>2.5387946723081249</v>
      </c>
      <c r="U36" s="62">
        <v>37.167140703883135</v>
      </c>
      <c r="V36" s="60">
        <v>24.68</v>
      </c>
      <c r="W36" s="67">
        <v>408</v>
      </c>
      <c r="X36" s="69">
        <v>10.199999999999999</v>
      </c>
      <c r="Y36" s="67">
        <v>72.04714070388313</v>
      </c>
      <c r="Z36" s="72">
        <f t="shared" si="4"/>
        <v>82.854211809465596</v>
      </c>
      <c r="AA36" s="116">
        <v>91</v>
      </c>
      <c r="AB36" s="116">
        <v>90</v>
      </c>
      <c r="AC36" s="116">
        <v>19</v>
      </c>
      <c r="AD36" s="113">
        <f t="shared" si="5"/>
        <v>173.8542118094656</v>
      </c>
      <c r="AE36" s="113">
        <f t="shared" si="6"/>
        <v>172.8542118094656</v>
      </c>
      <c r="AF36" s="113">
        <f t="shared" si="7"/>
        <v>101.8542118094656</v>
      </c>
    </row>
    <row r="37" spans="1:32" s="29" customFormat="1" x14ac:dyDescent="0.2">
      <c r="A37" s="26"/>
      <c r="B37" s="38">
        <v>355</v>
      </c>
      <c r="C37" s="76">
        <v>0.35499999999999998</v>
      </c>
      <c r="D37" s="27">
        <v>0.95499999999999996</v>
      </c>
      <c r="E37" s="42">
        <v>1.7550000000000001</v>
      </c>
      <c r="F37" s="48">
        <v>1.6760250000000001</v>
      </c>
      <c r="G37" s="28">
        <v>3.14</v>
      </c>
      <c r="H37" s="49">
        <v>5.2627185000000001</v>
      </c>
      <c r="I37" s="43">
        <v>0.43554720812499992</v>
      </c>
      <c r="J37" s="28">
        <v>19.55</v>
      </c>
      <c r="K37" s="54">
        <v>8.5149479188437489</v>
      </c>
      <c r="L37" s="52">
        <v>1.141548166875</v>
      </c>
      <c r="M37" s="28">
        <v>2.23</v>
      </c>
      <c r="N37" s="49">
        <v>2.54565241213125</v>
      </c>
      <c r="O37" s="43">
        <v>3.5100000000000002</v>
      </c>
      <c r="P37" s="28">
        <v>5.67</v>
      </c>
      <c r="Q37" s="54">
        <v>19.901700000000002</v>
      </c>
      <c r="R37" s="60">
        <v>16.323318830974998</v>
      </c>
      <c r="S37" s="62">
        <v>0.53447683312500005</v>
      </c>
      <c r="T37" s="60">
        <v>2.8396754143931253</v>
      </c>
      <c r="U37" s="62">
        <v>39.064694245368131</v>
      </c>
      <c r="V37" s="60">
        <v>31.35</v>
      </c>
      <c r="W37" s="67">
        <v>408</v>
      </c>
      <c r="X37" s="69">
        <v>10.199999999999999</v>
      </c>
      <c r="Y37" s="67">
        <v>80.614694245368142</v>
      </c>
      <c r="Z37" s="72">
        <f t="shared" si="4"/>
        <v>92.70689838217335</v>
      </c>
      <c r="AA37" s="116">
        <v>91</v>
      </c>
      <c r="AB37" s="116">
        <v>90</v>
      </c>
      <c r="AC37" s="116">
        <v>19</v>
      </c>
      <c r="AD37" s="113">
        <f t="shared" si="5"/>
        <v>183.70689838217334</v>
      </c>
      <c r="AE37" s="113">
        <f t="shared" si="6"/>
        <v>182.70689838217334</v>
      </c>
      <c r="AF37" s="113">
        <f t="shared" si="7"/>
        <v>111.70689838217335</v>
      </c>
    </row>
    <row r="38" spans="1:32" s="29" customFormat="1" x14ac:dyDescent="0.2">
      <c r="A38" s="26"/>
      <c r="B38" s="38">
        <v>400</v>
      </c>
      <c r="C38" s="76">
        <v>0.4</v>
      </c>
      <c r="D38" s="27">
        <v>1</v>
      </c>
      <c r="E38" s="42">
        <v>1.8</v>
      </c>
      <c r="F38" s="48">
        <v>1.8</v>
      </c>
      <c r="G38" s="28">
        <v>3.14</v>
      </c>
      <c r="H38" s="49">
        <v>5.6520000000000001</v>
      </c>
      <c r="I38" s="43">
        <v>0.47440000000000004</v>
      </c>
      <c r="J38" s="28">
        <v>19.55</v>
      </c>
      <c r="K38" s="54">
        <v>9.2745200000000008</v>
      </c>
      <c r="L38" s="52">
        <v>1.2000000000000002</v>
      </c>
      <c r="M38" s="28">
        <v>2.23</v>
      </c>
      <c r="N38" s="49">
        <v>2.6760000000000002</v>
      </c>
      <c r="O38" s="43">
        <v>3.6</v>
      </c>
      <c r="P38" s="28">
        <v>5.67</v>
      </c>
      <c r="Q38" s="54">
        <v>20.411999999999999</v>
      </c>
      <c r="R38" s="60">
        <v>17.602519999999998</v>
      </c>
      <c r="S38" s="62">
        <v>0.59999999999999987</v>
      </c>
      <c r="T38" s="60">
        <v>3.1877999999999993</v>
      </c>
      <c r="U38" s="62">
        <v>41.20232</v>
      </c>
      <c r="V38" s="60">
        <v>38.44</v>
      </c>
      <c r="W38" s="67">
        <v>408</v>
      </c>
      <c r="X38" s="69">
        <v>10.199999999999999</v>
      </c>
      <c r="Y38" s="67">
        <v>89.842320000000001</v>
      </c>
      <c r="Z38" s="72">
        <f t="shared" si="4"/>
        <v>103.31866799999999</v>
      </c>
      <c r="AA38" s="116">
        <v>105</v>
      </c>
      <c r="AB38" s="116">
        <v>103</v>
      </c>
      <c r="AC38" s="116">
        <v>22</v>
      </c>
      <c r="AD38" s="113">
        <f t="shared" si="5"/>
        <v>208.318668</v>
      </c>
      <c r="AE38" s="113">
        <f t="shared" si="6"/>
        <v>206.318668</v>
      </c>
      <c r="AF38" s="113">
        <f t="shared" si="7"/>
        <v>125.31866799999999</v>
      </c>
    </row>
    <row r="39" spans="1:32" s="29" customFormat="1" x14ac:dyDescent="0.2">
      <c r="A39" s="26"/>
      <c r="B39" s="38">
        <v>500</v>
      </c>
      <c r="C39" s="76">
        <v>0.5</v>
      </c>
      <c r="D39" s="27">
        <v>1.1000000000000001</v>
      </c>
      <c r="E39" s="42">
        <v>1.9000000000000001</v>
      </c>
      <c r="F39" s="48">
        <v>2.0900000000000003</v>
      </c>
      <c r="G39" s="28">
        <v>3.14</v>
      </c>
      <c r="H39" s="49">
        <v>6.5626000000000015</v>
      </c>
      <c r="I39" s="43">
        <v>0.55412499999999998</v>
      </c>
      <c r="J39" s="28">
        <v>19.55</v>
      </c>
      <c r="K39" s="54">
        <v>10.83314375</v>
      </c>
      <c r="L39" s="52">
        <v>1.3396250000000003</v>
      </c>
      <c r="M39" s="28">
        <v>2.23</v>
      </c>
      <c r="N39" s="49">
        <v>2.9873637500000005</v>
      </c>
      <c r="O39" s="43">
        <v>3.8000000000000003</v>
      </c>
      <c r="P39" s="28">
        <v>5.67</v>
      </c>
      <c r="Q39" s="54">
        <v>21.546000000000003</v>
      </c>
      <c r="R39" s="60">
        <v>20.383107500000001</v>
      </c>
      <c r="S39" s="62">
        <v>0.75037500000000001</v>
      </c>
      <c r="T39" s="60">
        <v>3.9867423749999999</v>
      </c>
      <c r="U39" s="62">
        <v>45.915849874999999</v>
      </c>
      <c r="V39" s="60">
        <v>70.239999999999995</v>
      </c>
      <c r="W39" s="67">
        <v>408</v>
      </c>
      <c r="X39" s="69">
        <v>10.199999999999999</v>
      </c>
      <c r="Y39" s="67">
        <v>126.355849875</v>
      </c>
      <c r="Z39" s="72">
        <f t="shared" si="4"/>
        <v>145.30922735625001</v>
      </c>
      <c r="AA39" s="116">
        <v>105</v>
      </c>
      <c r="AB39" s="116">
        <v>103</v>
      </c>
      <c r="AC39" s="116">
        <v>22</v>
      </c>
      <c r="AD39" s="113">
        <f t="shared" si="5"/>
        <v>250.30922735625001</v>
      </c>
      <c r="AE39" s="113">
        <f t="shared" si="6"/>
        <v>248.30922735625001</v>
      </c>
      <c r="AF39" s="113">
        <f t="shared" si="7"/>
        <v>167.30922735625001</v>
      </c>
    </row>
    <row r="40" spans="1:32" s="33" customFormat="1" ht="13.5" thickBot="1" x14ac:dyDescent="0.25">
      <c r="A40" s="30"/>
      <c r="B40" s="39">
        <v>600</v>
      </c>
      <c r="C40" s="77">
        <v>0.6</v>
      </c>
      <c r="D40" s="31">
        <v>1.2</v>
      </c>
      <c r="E40" s="42">
        <v>2</v>
      </c>
      <c r="F40" s="50">
        <v>2.4</v>
      </c>
      <c r="G40" s="32">
        <v>3.14</v>
      </c>
      <c r="H40" s="51">
        <v>7.5359999999999996</v>
      </c>
      <c r="I40" s="44">
        <v>0.6208800000000001</v>
      </c>
      <c r="J40" s="32">
        <v>19.55</v>
      </c>
      <c r="K40" s="55">
        <v>12.138204000000002</v>
      </c>
      <c r="L40" s="58">
        <v>1.4965199999999999</v>
      </c>
      <c r="M40" s="32">
        <v>2.23</v>
      </c>
      <c r="N40" s="51">
        <v>3.3372395999999998</v>
      </c>
      <c r="O40" s="44">
        <v>4</v>
      </c>
      <c r="P40" s="32">
        <v>5.67</v>
      </c>
      <c r="Q40" s="55">
        <v>22.68</v>
      </c>
      <c r="R40" s="61">
        <v>23.011443600000003</v>
      </c>
      <c r="S40" s="63">
        <v>0.90348000000000006</v>
      </c>
      <c r="T40" s="61">
        <v>4.8001892399999999</v>
      </c>
      <c r="U40" s="63">
        <v>50.491632840000001</v>
      </c>
      <c r="V40" s="61">
        <v>87.89</v>
      </c>
      <c r="W40" s="68">
        <v>408</v>
      </c>
      <c r="X40" s="70">
        <v>10.199999999999999</v>
      </c>
      <c r="Y40" s="68">
        <v>148.58163284</v>
      </c>
      <c r="Z40" s="72">
        <f t="shared" si="4"/>
        <v>170.868877766</v>
      </c>
      <c r="AA40" s="116">
        <v>123</v>
      </c>
      <c r="AB40" s="116">
        <v>121</v>
      </c>
      <c r="AC40" s="116">
        <v>26</v>
      </c>
      <c r="AD40" s="113">
        <f t="shared" si="5"/>
        <v>293.86887776599997</v>
      </c>
      <c r="AE40" s="113">
        <f t="shared" si="6"/>
        <v>291.86887776599997</v>
      </c>
      <c r="AF40" s="113">
        <f t="shared" si="7"/>
        <v>196.868877766</v>
      </c>
    </row>
    <row r="41" spans="1:32" s="29" customFormat="1" x14ac:dyDescent="0.2">
      <c r="A41" s="26"/>
      <c r="B41" s="40">
        <v>700</v>
      </c>
      <c r="C41" s="78">
        <v>0.7</v>
      </c>
      <c r="D41" s="34">
        <v>1.2999999999999998</v>
      </c>
      <c r="E41" s="42">
        <v>2.1</v>
      </c>
      <c r="F41" s="52">
        <v>2.7299999999999995</v>
      </c>
      <c r="G41" s="28">
        <v>3.14</v>
      </c>
      <c r="H41" s="49">
        <v>8.5721999999999987</v>
      </c>
      <c r="I41" s="43">
        <v>0.66995499999999986</v>
      </c>
      <c r="J41" s="28">
        <v>19.55</v>
      </c>
      <c r="K41" s="54">
        <v>13.097620249999999</v>
      </c>
      <c r="L41" s="52">
        <v>1.6753949999999997</v>
      </c>
      <c r="M41" s="28">
        <v>2.23</v>
      </c>
      <c r="N41" s="49">
        <v>3.7361308499999994</v>
      </c>
      <c r="O41" s="43">
        <v>4.2</v>
      </c>
      <c r="P41" s="28">
        <v>5.67</v>
      </c>
      <c r="Q41" s="54">
        <v>23.814</v>
      </c>
      <c r="R41" s="60">
        <v>25.405951099999996</v>
      </c>
      <c r="S41" s="62">
        <v>1.0546049999999998</v>
      </c>
      <c r="T41" s="60">
        <v>5.6031163649999982</v>
      </c>
      <c r="U41" s="62">
        <v>54.823067464999994</v>
      </c>
      <c r="V41" s="60">
        <v>114.2</v>
      </c>
      <c r="W41" s="67">
        <v>492</v>
      </c>
      <c r="X41" s="69">
        <v>12.3</v>
      </c>
      <c r="Y41" s="67">
        <v>181.32306746500001</v>
      </c>
      <c r="Z41" s="72">
        <f t="shared" si="4"/>
        <v>208.52152758475</v>
      </c>
      <c r="AA41" s="116">
        <v>123</v>
      </c>
      <c r="AB41" s="116">
        <v>121</v>
      </c>
      <c r="AC41" s="116">
        <v>26</v>
      </c>
      <c r="AD41" s="113">
        <f t="shared" si="5"/>
        <v>331.52152758475</v>
      </c>
      <c r="AE41" s="113">
        <f t="shared" si="6"/>
        <v>329.52152758475</v>
      </c>
      <c r="AF41" s="113">
        <f t="shared" si="7"/>
        <v>234.52152758475</v>
      </c>
    </row>
    <row r="42" spans="1:32" s="29" customFormat="1" x14ac:dyDescent="0.2">
      <c r="A42" s="26"/>
      <c r="B42" s="38">
        <v>800</v>
      </c>
      <c r="C42" s="76">
        <v>0.8</v>
      </c>
      <c r="D42" s="27">
        <v>1.4</v>
      </c>
      <c r="E42" s="42">
        <v>2.1999999999999997</v>
      </c>
      <c r="F42" s="48">
        <v>3.0799999999999996</v>
      </c>
      <c r="G42" s="28">
        <v>3.14</v>
      </c>
      <c r="H42" s="49">
        <v>9.6711999999999989</v>
      </c>
      <c r="I42" s="43">
        <v>0.69663999999999981</v>
      </c>
      <c r="J42" s="28">
        <v>19.55</v>
      </c>
      <c r="K42" s="54">
        <v>13.619311999999997</v>
      </c>
      <c r="L42" s="52">
        <v>1.8809599999999995</v>
      </c>
      <c r="M42" s="28">
        <v>2.23</v>
      </c>
      <c r="N42" s="49">
        <v>4.1945407999999986</v>
      </c>
      <c r="O42" s="43">
        <v>4.3999999999999995</v>
      </c>
      <c r="P42" s="28">
        <v>5.67</v>
      </c>
      <c r="Q42" s="54">
        <v>24.947999999999997</v>
      </c>
      <c r="R42" s="60">
        <v>27.485052799999995</v>
      </c>
      <c r="S42" s="62">
        <v>1.1990400000000001</v>
      </c>
      <c r="T42" s="60">
        <v>6.3704995200000001</v>
      </c>
      <c r="U42" s="62">
        <v>58.803552319999994</v>
      </c>
      <c r="V42" s="60">
        <v>140.9</v>
      </c>
      <c r="W42" s="67">
        <v>492</v>
      </c>
      <c r="X42" s="69">
        <v>12.3</v>
      </c>
      <c r="Y42" s="67">
        <v>212.00355232000001</v>
      </c>
      <c r="Z42" s="72">
        <f t="shared" si="4"/>
        <v>243.804085168</v>
      </c>
      <c r="AA42" s="116">
        <v>145</v>
      </c>
      <c r="AB42" s="116">
        <v>143</v>
      </c>
      <c r="AC42" s="116">
        <v>30</v>
      </c>
      <c r="AD42" s="113">
        <f t="shared" si="5"/>
        <v>388.80408516800003</v>
      </c>
      <c r="AE42" s="113">
        <f t="shared" si="6"/>
        <v>386.80408516800003</v>
      </c>
      <c r="AF42" s="113">
        <f t="shared" si="7"/>
        <v>273.80408516800003</v>
      </c>
    </row>
    <row r="43" spans="1:32" s="29" customFormat="1" x14ac:dyDescent="0.2">
      <c r="A43" s="26"/>
      <c r="B43" s="38">
        <v>900</v>
      </c>
      <c r="C43" s="76">
        <v>0.9</v>
      </c>
      <c r="D43" s="27">
        <v>1.5</v>
      </c>
      <c r="E43" s="42">
        <v>2.2999999999999998</v>
      </c>
      <c r="F43" s="48">
        <v>3.4499999999999997</v>
      </c>
      <c r="G43" s="28">
        <v>3.14</v>
      </c>
      <c r="H43" s="49">
        <v>10.833</v>
      </c>
      <c r="I43" s="43">
        <v>0.69622500000000009</v>
      </c>
      <c r="J43" s="28">
        <v>19.55</v>
      </c>
      <c r="K43" s="54">
        <v>13.611198750000002</v>
      </c>
      <c r="L43" s="52">
        <v>2.1179249999999996</v>
      </c>
      <c r="M43" s="28">
        <v>2.23</v>
      </c>
      <c r="N43" s="49">
        <v>4.7229727499999994</v>
      </c>
      <c r="O43" s="43">
        <v>4.5999999999999996</v>
      </c>
      <c r="P43" s="28">
        <v>5.67</v>
      </c>
      <c r="Q43" s="54">
        <v>26.081999999999997</v>
      </c>
      <c r="R43" s="60">
        <v>29.167171500000002</v>
      </c>
      <c r="S43" s="62">
        <v>1.3320750000000001</v>
      </c>
      <c r="T43" s="60">
        <v>7.0773144750000005</v>
      </c>
      <c r="U43" s="62">
        <v>62.326485975000004</v>
      </c>
      <c r="V43" s="60">
        <v>149</v>
      </c>
      <c r="W43" s="67">
        <v>492</v>
      </c>
      <c r="X43" s="69">
        <v>12.3</v>
      </c>
      <c r="Y43" s="67">
        <v>223.62648597500001</v>
      </c>
      <c r="Z43" s="72">
        <f t="shared" si="4"/>
        <v>257.17045887124999</v>
      </c>
      <c r="AA43" s="116">
        <v>145</v>
      </c>
      <c r="AB43" s="116">
        <v>143</v>
      </c>
      <c r="AC43" s="116">
        <v>30</v>
      </c>
      <c r="AD43" s="113">
        <f t="shared" si="5"/>
        <v>402.17045887124999</v>
      </c>
      <c r="AE43" s="113">
        <f t="shared" si="6"/>
        <v>400.17045887124999</v>
      </c>
      <c r="AF43" s="113">
        <f t="shared" si="7"/>
        <v>287.17045887124999</v>
      </c>
    </row>
    <row r="44" spans="1:32" s="29" customFormat="1" x14ac:dyDescent="0.2">
      <c r="A44" s="26"/>
      <c r="B44" s="38">
        <v>1000</v>
      </c>
      <c r="C44" s="76">
        <v>1</v>
      </c>
      <c r="D44" s="27">
        <v>1.6</v>
      </c>
      <c r="E44" s="42">
        <v>2.4</v>
      </c>
      <c r="F44" s="48">
        <v>3.84</v>
      </c>
      <c r="G44" s="28">
        <v>3.14</v>
      </c>
      <c r="H44" s="49">
        <v>12.057600000000001</v>
      </c>
      <c r="I44" s="43">
        <v>0.66399999999999992</v>
      </c>
      <c r="J44" s="28">
        <v>19.55</v>
      </c>
      <c r="K44" s="54">
        <v>12.981199999999999</v>
      </c>
      <c r="L44" s="52">
        <v>2.391</v>
      </c>
      <c r="M44" s="28">
        <v>2.23</v>
      </c>
      <c r="N44" s="49">
        <v>5.3319299999999998</v>
      </c>
      <c r="O44" s="43">
        <v>4.8</v>
      </c>
      <c r="P44" s="28">
        <v>5.67</v>
      </c>
      <c r="Q44" s="54">
        <v>27.215999999999998</v>
      </c>
      <c r="R44" s="60">
        <v>30.370730000000002</v>
      </c>
      <c r="S44" s="62">
        <v>1.4489999999999998</v>
      </c>
      <c r="T44" s="60">
        <v>7.6985369999999991</v>
      </c>
      <c r="U44" s="62">
        <v>65.285267000000005</v>
      </c>
      <c r="V44" s="60">
        <v>166.5</v>
      </c>
      <c r="W44" s="67">
        <v>492</v>
      </c>
      <c r="X44" s="69">
        <v>12.3</v>
      </c>
      <c r="Y44" s="67">
        <v>244.08526700000002</v>
      </c>
      <c r="Z44" s="72">
        <f t="shared" si="4"/>
        <v>280.69805704999999</v>
      </c>
      <c r="AA44" s="116">
        <v>171</v>
      </c>
      <c r="AB44" s="116">
        <v>169</v>
      </c>
      <c r="AC44" s="116">
        <v>34</v>
      </c>
      <c r="AD44" s="113">
        <f t="shared" si="5"/>
        <v>451.69805704999999</v>
      </c>
      <c r="AE44" s="113">
        <f t="shared" si="6"/>
        <v>449.69805704999999</v>
      </c>
      <c r="AF44" s="113">
        <f t="shared" si="7"/>
        <v>314.69805704999999</v>
      </c>
    </row>
    <row r="45" spans="1:32" s="29" customFormat="1" ht="13.5" thickBot="1" x14ac:dyDescent="0.25">
      <c r="A45" s="26"/>
      <c r="B45" s="39">
        <v>1250</v>
      </c>
      <c r="C45" s="77">
        <v>1.25</v>
      </c>
      <c r="D45" s="31">
        <v>1.85</v>
      </c>
      <c r="E45" s="75">
        <v>2.65</v>
      </c>
      <c r="F45" s="50">
        <v>4.9024999999999999</v>
      </c>
      <c r="G45" s="32">
        <v>3.14</v>
      </c>
      <c r="H45" s="51">
        <v>15.39385</v>
      </c>
      <c r="I45" s="44">
        <v>0.41335937499999992</v>
      </c>
      <c r="J45" s="32">
        <v>19.55</v>
      </c>
      <c r="K45" s="55">
        <v>8.081175781249998</v>
      </c>
      <c r="L45" s="58">
        <v>3.2625781250000001</v>
      </c>
      <c r="M45" s="32">
        <v>2.23</v>
      </c>
      <c r="N45" s="51">
        <v>7.2755492187500002</v>
      </c>
      <c r="O45" s="44">
        <v>5.3</v>
      </c>
      <c r="P45" s="32">
        <v>5.67</v>
      </c>
      <c r="Q45" s="55">
        <v>30.050999999999998</v>
      </c>
      <c r="R45" s="61">
        <v>30.750574999999998</v>
      </c>
      <c r="S45" s="63">
        <v>1.6399218749999998</v>
      </c>
      <c r="T45" s="71">
        <v>8.7129049218749994</v>
      </c>
      <c r="U45" s="63">
        <v>69.514479921874994</v>
      </c>
      <c r="V45" s="61">
        <v>203.43</v>
      </c>
      <c r="W45" s="63">
        <v>492</v>
      </c>
      <c r="X45" s="71">
        <v>12.3</v>
      </c>
      <c r="Y45" s="63">
        <v>285.24447992187498</v>
      </c>
      <c r="Z45" s="72">
        <f t="shared" si="4"/>
        <v>328.03115191015621</v>
      </c>
      <c r="AA45" s="117">
        <v>171</v>
      </c>
      <c r="AB45" s="117">
        <v>169</v>
      </c>
      <c r="AC45" s="117">
        <v>34</v>
      </c>
      <c r="AD45" s="114">
        <f t="shared" si="5"/>
        <v>499.03115191015621</v>
      </c>
      <c r="AE45" s="114">
        <f t="shared" si="6"/>
        <v>497.03115191015621</v>
      </c>
      <c r="AF45" s="114">
        <f t="shared" si="7"/>
        <v>362.03115191015621</v>
      </c>
    </row>
    <row r="47" spans="1:32" x14ac:dyDescent="0.2">
      <c r="A47" s="7"/>
      <c r="B47" s="8" t="s">
        <v>141</v>
      </c>
      <c r="C47" s="8"/>
      <c r="D47" s="7"/>
      <c r="E47" s="35"/>
      <c r="F47" s="35"/>
      <c r="G47" s="35"/>
      <c r="J47" s="35"/>
      <c r="K47" s="8"/>
    </row>
    <row r="48" spans="1:32" ht="13.5" thickBot="1" x14ac:dyDescent="0.25">
      <c r="A48" s="7"/>
      <c r="B48" s="8"/>
      <c r="C48" s="3"/>
      <c r="D48" s="2"/>
    </row>
    <row r="49" spans="1:32" s="9" customFormat="1" ht="52.5" customHeight="1" thickBot="1" x14ac:dyDescent="0.25">
      <c r="B49" s="1059" t="s">
        <v>24</v>
      </c>
      <c r="C49" s="1060"/>
      <c r="D49" s="1060"/>
      <c r="E49" s="1061"/>
      <c r="F49" s="1059" t="s">
        <v>1</v>
      </c>
      <c r="G49" s="1060"/>
      <c r="H49" s="1061"/>
      <c r="I49" s="1059" t="s">
        <v>2</v>
      </c>
      <c r="J49" s="1060"/>
      <c r="K49" s="1061"/>
      <c r="L49" s="1059" t="s">
        <v>3</v>
      </c>
      <c r="M49" s="1060"/>
      <c r="N49" s="1061"/>
      <c r="O49" s="1059" t="s">
        <v>4</v>
      </c>
      <c r="P49" s="1060"/>
      <c r="Q49" s="1060"/>
      <c r="R49" s="10" t="s">
        <v>19</v>
      </c>
      <c r="S49" s="10" t="s">
        <v>31</v>
      </c>
      <c r="T49" s="10" t="s">
        <v>32</v>
      </c>
      <c r="U49" s="10" t="s">
        <v>5</v>
      </c>
      <c r="V49" s="10" t="s">
        <v>18</v>
      </c>
      <c r="W49" s="10" t="s">
        <v>37</v>
      </c>
      <c r="X49" s="10" t="s">
        <v>20</v>
      </c>
      <c r="Y49" s="152" t="s">
        <v>23</v>
      </c>
      <c r="Z49" s="19" t="s">
        <v>39</v>
      </c>
      <c r="AA49" s="1059" t="s">
        <v>93</v>
      </c>
      <c r="AB49" s="1060"/>
      <c r="AC49" s="1061"/>
      <c r="AD49" s="1062" t="s">
        <v>97</v>
      </c>
      <c r="AE49" s="1063"/>
      <c r="AF49" s="1064"/>
    </row>
    <row r="50" spans="1:32" s="20" customFormat="1" ht="13.5" thickBot="1" x14ac:dyDescent="0.25">
      <c r="A50" s="12"/>
      <c r="B50" s="13"/>
      <c r="C50" s="14"/>
      <c r="D50" s="15"/>
      <c r="E50" s="84"/>
      <c r="F50" s="57"/>
      <c r="G50" s="16" t="s">
        <v>6</v>
      </c>
      <c r="H50" s="16" t="s">
        <v>6</v>
      </c>
      <c r="I50" s="56"/>
      <c r="J50" s="16" t="s">
        <v>6</v>
      </c>
      <c r="K50" s="53" t="s">
        <v>6</v>
      </c>
      <c r="L50" s="57"/>
      <c r="M50" s="16" t="s">
        <v>6</v>
      </c>
      <c r="N50" s="16" t="s">
        <v>6</v>
      </c>
      <c r="O50" s="56"/>
      <c r="P50" s="16" t="s">
        <v>6</v>
      </c>
      <c r="Q50" s="53" t="s">
        <v>6</v>
      </c>
      <c r="R50" s="19" t="s">
        <v>6</v>
      </c>
      <c r="S50" s="64"/>
      <c r="T50" s="66" t="s">
        <v>33</v>
      </c>
      <c r="U50" s="64" t="s">
        <v>6</v>
      </c>
      <c r="V50" s="19"/>
      <c r="W50" s="64"/>
      <c r="X50" s="19"/>
      <c r="Y50" s="64"/>
      <c r="Z50" s="19" t="s">
        <v>6</v>
      </c>
      <c r="AA50" s="80" t="s">
        <v>6</v>
      </c>
      <c r="AB50" s="80" t="s">
        <v>6</v>
      </c>
      <c r="AC50" s="80" t="s">
        <v>6</v>
      </c>
      <c r="AD50" s="108" t="s">
        <v>6</v>
      </c>
      <c r="AE50" s="109" t="s">
        <v>6</v>
      </c>
      <c r="AF50" s="110" t="s">
        <v>6</v>
      </c>
    </row>
    <row r="51" spans="1:32" s="9" customFormat="1" ht="51.75" thickBot="1" x14ac:dyDescent="0.25">
      <c r="A51" s="80"/>
      <c r="B51" s="81" t="s">
        <v>7</v>
      </c>
      <c r="C51" s="82" t="s">
        <v>8</v>
      </c>
      <c r="D51" s="79" t="s">
        <v>9</v>
      </c>
      <c r="E51" s="22" t="s">
        <v>30</v>
      </c>
      <c r="F51" s="81" t="s">
        <v>10</v>
      </c>
      <c r="G51" s="21" t="s">
        <v>11</v>
      </c>
      <c r="H51" s="21" t="s">
        <v>12</v>
      </c>
      <c r="I51" s="83" t="s">
        <v>13</v>
      </c>
      <c r="J51" s="21" t="s">
        <v>11</v>
      </c>
      <c r="K51" s="22" t="s">
        <v>12</v>
      </c>
      <c r="L51" s="81" t="s">
        <v>14</v>
      </c>
      <c r="M51" s="21" t="s">
        <v>11</v>
      </c>
      <c r="N51" s="21" t="s">
        <v>12</v>
      </c>
      <c r="O51" s="83" t="s">
        <v>15</v>
      </c>
      <c r="P51" s="21" t="s">
        <v>16</v>
      </c>
      <c r="Q51" s="21" t="s">
        <v>12</v>
      </c>
      <c r="R51" s="21" t="s">
        <v>12</v>
      </c>
      <c r="S51" s="22" t="s">
        <v>34</v>
      </c>
      <c r="T51" s="23" t="s">
        <v>35</v>
      </c>
      <c r="U51" s="65" t="s">
        <v>12</v>
      </c>
      <c r="V51" s="23" t="s">
        <v>21</v>
      </c>
      <c r="W51" s="65" t="s">
        <v>22</v>
      </c>
      <c r="X51" s="23" t="s">
        <v>21</v>
      </c>
      <c r="Y51" s="65" t="s">
        <v>12</v>
      </c>
      <c r="Z51" s="23" t="s">
        <v>12</v>
      </c>
      <c r="AA51" s="107" t="s">
        <v>94</v>
      </c>
      <c r="AB51" s="107" t="s">
        <v>95</v>
      </c>
      <c r="AC51" s="107" t="s">
        <v>96</v>
      </c>
      <c r="AD51" s="111" t="s">
        <v>94</v>
      </c>
      <c r="AE51" s="111" t="s">
        <v>95</v>
      </c>
      <c r="AF51" s="111" t="s">
        <v>96</v>
      </c>
    </row>
    <row r="52" spans="1:32" s="29" customFormat="1" x14ac:dyDescent="0.2">
      <c r="A52" s="26"/>
      <c r="B52" s="38">
        <v>150</v>
      </c>
      <c r="C52" s="76">
        <v>0.16</v>
      </c>
      <c r="D52" s="27">
        <v>0.76</v>
      </c>
      <c r="E52" s="42">
        <v>2.06</v>
      </c>
      <c r="F52" s="48">
        <v>1.5656000000000001</v>
      </c>
      <c r="G52" s="28">
        <v>3.14</v>
      </c>
      <c r="H52" s="49">
        <v>4.9159840000000008</v>
      </c>
      <c r="I52" s="43">
        <v>0.25832704000000001</v>
      </c>
      <c r="J52" s="28">
        <v>19.55</v>
      </c>
      <c r="K52" s="54">
        <v>5.0502936320000007</v>
      </c>
      <c r="L52" s="52">
        <v>1.28717696</v>
      </c>
      <c r="M52" s="28">
        <v>2.23</v>
      </c>
      <c r="N52" s="49">
        <v>2.8704046208</v>
      </c>
      <c r="O52" s="43">
        <v>4.12</v>
      </c>
      <c r="P52" s="28">
        <v>5.67</v>
      </c>
      <c r="Q52" s="54">
        <v>23.360400000000002</v>
      </c>
      <c r="R52" s="59">
        <v>12.836682252800001</v>
      </c>
      <c r="S52" s="62">
        <v>0.27842304000000007</v>
      </c>
      <c r="T52" s="60">
        <v>1.4792616115200001</v>
      </c>
      <c r="U52" s="62">
        <v>37.676343864320003</v>
      </c>
      <c r="V52" s="60">
        <v>9.8699999999999992</v>
      </c>
      <c r="W52" s="67">
        <v>757</v>
      </c>
      <c r="X52" s="69">
        <v>18.925000000000001</v>
      </c>
      <c r="Y52" s="67">
        <v>66.471343864320005</v>
      </c>
      <c r="Z52" s="72">
        <f t="shared" ref="Z52:Z64" si="8">Y52*1.15</f>
        <v>76.442045443967999</v>
      </c>
      <c r="AA52" s="115">
        <v>73</v>
      </c>
      <c r="AB52" s="115">
        <v>72</v>
      </c>
      <c r="AC52" s="115">
        <v>15</v>
      </c>
      <c r="AD52" s="112">
        <f t="shared" ref="AD52:AD64" si="9">(Z52+AA52)*$AG$7</f>
        <v>149.442045443968</v>
      </c>
      <c r="AE52" s="112">
        <f t="shared" ref="AE52:AE64" si="10">(Z52+AB52)*$AG$7</f>
        <v>148.442045443968</v>
      </c>
      <c r="AF52" s="112">
        <f t="shared" ref="AF52:AF64" si="11">(Z52+AC52)*$AG$7</f>
        <v>91.442045443967999</v>
      </c>
    </row>
    <row r="53" spans="1:32" s="29" customFormat="1" x14ac:dyDescent="0.2">
      <c r="A53" s="26"/>
      <c r="B53" s="38">
        <v>200</v>
      </c>
      <c r="C53" s="76">
        <v>0.2</v>
      </c>
      <c r="D53" s="27">
        <v>0.8</v>
      </c>
      <c r="E53" s="42">
        <v>2.1</v>
      </c>
      <c r="F53" s="48">
        <v>1.6800000000000002</v>
      </c>
      <c r="G53" s="28">
        <v>3.14</v>
      </c>
      <c r="H53" s="49">
        <v>5.2752000000000008</v>
      </c>
      <c r="I53" s="43">
        <v>0.29488000000000003</v>
      </c>
      <c r="J53" s="28">
        <v>19.55</v>
      </c>
      <c r="K53" s="54">
        <v>5.7649040000000005</v>
      </c>
      <c r="L53" s="52">
        <v>1.35372</v>
      </c>
      <c r="M53" s="28">
        <v>2.23</v>
      </c>
      <c r="N53" s="49">
        <v>3.0187956000000002</v>
      </c>
      <c r="O53" s="43">
        <v>4.2</v>
      </c>
      <c r="P53" s="28">
        <v>5.67</v>
      </c>
      <c r="Q53" s="54">
        <v>23.814</v>
      </c>
      <c r="R53" s="60">
        <v>14.058899600000002</v>
      </c>
      <c r="S53" s="62">
        <v>0.32628000000000013</v>
      </c>
      <c r="T53" s="60">
        <v>1.7335256400000005</v>
      </c>
      <c r="U53" s="62">
        <v>39.606425240000007</v>
      </c>
      <c r="V53" s="60">
        <v>11.9</v>
      </c>
      <c r="W53" s="67">
        <v>757</v>
      </c>
      <c r="X53" s="69">
        <v>18.925000000000001</v>
      </c>
      <c r="Y53" s="67">
        <v>70.43142524000001</v>
      </c>
      <c r="Z53" s="72">
        <f t="shared" si="8"/>
        <v>80.996139026000009</v>
      </c>
      <c r="AA53" s="116">
        <v>82</v>
      </c>
      <c r="AB53" s="116">
        <v>81</v>
      </c>
      <c r="AC53" s="116">
        <v>17</v>
      </c>
      <c r="AD53" s="113">
        <f t="shared" si="9"/>
        <v>162.99613902600001</v>
      </c>
      <c r="AE53" s="113">
        <f t="shared" si="10"/>
        <v>161.99613902600001</v>
      </c>
      <c r="AF53" s="113">
        <f t="shared" si="11"/>
        <v>97.996139026000009</v>
      </c>
    </row>
    <row r="54" spans="1:32" s="29" customFormat="1" ht="13.9" customHeight="1" x14ac:dyDescent="0.2">
      <c r="A54" s="26"/>
      <c r="B54" s="38">
        <v>250</v>
      </c>
      <c r="C54" s="76">
        <v>0.25</v>
      </c>
      <c r="D54" s="27">
        <v>0.85</v>
      </c>
      <c r="E54" s="42">
        <v>2.15</v>
      </c>
      <c r="F54" s="48">
        <v>1.8274999999999999</v>
      </c>
      <c r="G54" s="28">
        <v>3.14</v>
      </c>
      <c r="H54" s="49">
        <v>5.7383499999999996</v>
      </c>
      <c r="I54" s="43">
        <v>0.340796875</v>
      </c>
      <c r="J54" s="28">
        <v>19.55</v>
      </c>
      <c r="K54" s="54">
        <v>6.6625789062500003</v>
      </c>
      <c r="L54" s="52">
        <v>1.437640625</v>
      </c>
      <c r="M54" s="28">
        <v>2.23</v>
      </c>
      <c r="N54" s="49">
        <v>3.20593859375</v>
      </c>
      <c r="O54" s="43">
        <v>4.3</v>
      </c>
      <c r="P54" s="28">
        <v>5.67</v>
      </c>
      <c r="Q54" s="54">
        <v>24.381</v>
      </c>
      <c r="R54" s="60">
        <v>15.6068675</v>
      </c>
      <c r="S54" s="62">
        <v>0.3898593749999999</v>
      </c>
      <c r="T54" s="60">
        <v>2.0713228593749995</v>
      </c>
      <c r="U54" s="62">
        <v>42.059190359375002</v>
      </c>
      <c r="V54" s="60">
        <v>17</v>
      </c>
      <c r="W54" s="67">
        <v>757</v>
      </c>
      <c r="X54" s="69">
        <v>18.925000000000001</v>
      </c>
      <c r="Y54" s="67">
        <v>77.984190359375006</v>
      </c>
      <c r="Z54" s="512">
        <f t="shared" si="8"/>
        <v>89.681818913281248</v>
      </c>
      <c r="AA54" s="116">
        <v>82</v>
      </c>
      <c r="AB54" s="116">
        <v>81</v>
      </c>
      <c r="AC54" s="116">
        <v>17</v>
      </c>
      <c r="AD54" s="513">
        <f t="shared" si="9"/>
        <v>171.68181891328123</v>
      </c>
      <c r="AE54" s="113">
        <f t="shared" si="10"/>
        <v>170.68181891328123</v>
      </c>
      <c r="AF54" s="113">
        <f t="shared" si="11"/>
        <v>106.68181891328125</v>
      </c>
    </row>
    <row r="55" spans="1:32" s="29" customFormat="1" x14ac:dyDescent="0.2">
      <c r="A55" s="26"/>
      <c r="B55" s="38">
        <v>300</v>
      </c>
      <c r="C55" s="76">
        <v>0.315</v>
      </c>
      <c r="D55" s="27">
        <v>0.91500000000000004</v>
      </c>
      <c r="E55" s="42">
        <v>2.2149999999999999</v>
      </c>
      <c r="F55" s="48">
        <v>2.0267249999999999</v>
      </c>
      <c r="G55" s="28">
        <v>3.14</v>
      </c>
      <c r="H55" s="49">
        <v>6.3639165000000002</v>
      </c>
      <c r="I55" s="43">
        <v>0.39995416312499998</v>
      </c>
      <c r="J55" s="28">
        <v>19.55</v>
      </c>
      <c r="K55" s="54">
        <v>7.8191038890937499</v>
      </c>
      <c r="L55" s="52">
        <v>1.5488792118750001</v>
      </c>
      <c r="M55" s="28">
        <v>2.23</v>
      </c>
      <c r="N55" s="49">
        <v>3.4540006424812502</v>
      </c>
      <c r="O55" s="43">
        <v>4.43</v>
      </c>
      <c r="P55" s="28">
        <v>5.67</v>
      </c>
      <c r="Q55" s="54">
        <v>25.118099999999998</v>
      </c>
      <c r="R55" s="60">
        <v>17.637021031574999</v>
      </c>
      <c r="S55" s="62">
        <v>0.47784578812499978</v>
      </c>
      <c r="T55" s="60">
        <v>2.5387946723081236</v>
      </c>
      <c r="U55" s="62">
        <v>45.293915703883123</v>
      </c>
      <c r="V55" s="60">
        <v>24.68</v>
      </c>
      <c r="W55" s="67">
        <v>757</v>
      </c>
      <c r="X55" s="69">
        <v>18.925000000000001</v>
      </c>
      <c r="Y55" s="67">
        <v>88.898915703883119</v>
      </c>
      <c r="Z55" s="72">
        <f t="shared" si="8"/>
        <v>102.23375305946558</v>
      </c>
      <c r="AA55" s="116">
        <v>91</v>
      </c>
      <c r="AB55" s="116">
        <v>90</v>
      </c>
      <c r="AC55" s="116">
        <v>19</v>
      </c>
      <c r="AD55" s="113">
        <f t="shared" si="9"/>
        <v>193.23375305946558</v>
      </c>
      <c r="AE55" s="113">
        <f t="shared" si="10"/>
        <v>192.23375305946558</v>
      </c>
      <c r="AF55" s="113">
        <f t="shared" si="11"/>
        <v>121.23375305946558</v>
      </c>
    </row>
    <row r="56" spans="1:32" s="29" customFormat="1" x14ac:dyDescent="0.2">
      <c r="A56" s="26"/>
      <c r="B56" s="38">
        <v>355</v>
      </c>
      <c r="C56" s="76">
        <v>0.35499999999999998</v>
      </c>
      <c r="D56" s="27">
        <v>0.95499999999999996</v>
      </c>
      <c r="E56" s="42">
        <v>2.2549999999999999</v>
      </c>
      <c r="F56" s="48">
        <v>2.1535249999999997</v>
      </c>
      <c r="G56" s="28">
        <v>3.14</v>
      </c>
      <c r="H56" s="49">
        <v>6.7620684999999989</v>
      </c>
      <c r="I56" s="43">
        <v>0.43554720812499992</v>
      </c>
      <c r="J56" s="28">
        <v>19.55</v>
      </c>
      <c r="K56" s="54">
        <v>8.5149479188437489</v>
      </c>
      <c r="L56" s="52">
        <v>1.6190481668749996</v>
      </c>
      <c r="M56" s="28">
        <v>2.23</v>
      </c>
      <c r="N56" s="49">
        <v>3.6104774121312491</v>
      </c>
      <c r="O56" s="43">
        <v>4.51</v>
      </c>
      <c r="P56" s="28">
        <v>5.67</v>
      </c>
      <c r="Q56" s="54">
        <v>25.5717</v>
      </c>
      <c r="R56" s="60">
        <v>18.887493830974996</v>
      </c>
      <c r="S56" s="62">
        <v>0.53447683312500005</v>
      </c>
      <c r="T56" s="60">
        <v>2.8396754143931253</v>
      </c>
      <c r="U56" s="62">
        <v>47.298869245368124</v>
      </c>
      <c r="V56" s="60">
        <v>31.35</v>
      </c>
      <c r="W56" s="67">
        <v>757</v>
      </c>
      <c r="X56" s="69">
        <v>18.925000000000001</v>
      </c>
      <c r="Y56" s="67">
        <v>97.57386924536813</v>
      </c>
      <c r="Z56" s="72">
        <f t="shared" si="8"/>
        <v>112.20994963217333</v>
      </c>
      <c r="AA56" s="116">
        <v>91</v>
      </c>
      <c r="AB56" s="116">
        <v>90</v>
      </c>
      <c r="AC56" s="116">
        <v>19</v>
      </c>
      <c r="AD56" s="113">
        <f t="shared" si="9"/>
        <v>203.20994963217333</v>
      </c>
      <c r="AE56" s="113">
        <f t="shared" si="10"/>
        <v>202.20994963217333</v>
      </c>
      <c r="AF56" s="113">
        <f t="shared" si="11"/>
        <v>131.20994963217333</v>
      </c>
    </row>
    <row r="57" spans="1:32" s="29" customFormat="1" x14ac:dyDescent="0.2">
      <c r="A57" s="26"/>
      <c r="B57" s="38">
        <v>400</v>
      </c>
      <c r="C57" s="76">
        <v>0.4</v>
      </c>
      <c r="D57" s="27">
        <v>1</v>
      </c>
      <c r="E57" s="42">
        <v>2.2999999999999998</v>
      </c>
      <c r="F57" s="48">
        <v>2.2999999999999998</v>
      </c>
      <c r="G57" s="28">
        <v>3.14</v>
      </c>
      <c r="H57" s="49">
        <v>7.2219999999999995</v>
      </c>
      <c r="I57" s="43">
        <v>0.47440000000000004</v>
      </c>
      <c r="J57" s="28">
        <v>19.55</v>
      </c>
      <c r="K57" s="54">
        <v>9.2745200000000008</v>
      </c>
      <c r="L57" s="52">
        <v>1.6999999999999997</v>
      </c>
      <c r="M57" s="28">
        <v>2.23</v>
      </c>
      <c r="N57" s="49">
        <v>3.7909999999999995</v>
      </c>
      <c r="O57" s="43">
        <v>4.5999999999999996</v>
      </c>
      <c r="P57" s="28">
        <v>5.67</v>
      </c>
      <c r="Q57" s="54">
        <v>26.081999999999997</v>
      </c>
      <c r="R57" s="60">
        <v>20.287520000000001</v>
      </c>
      <c r="S57" s="62">
        <v>0.60000000000000009</v>
      </c>
      <c r="T57" s="60">
        <v>3.1878000000000002</v>
      </c>
      <c r="U57" s="62">
        <v>49.557319999999997</v>
      </c>
      <c r="V57" s="60">
        <v>38.44</v>
      </c>
      <c r="W57" s="67">
        <v>757</v>
      </c>
      <c r="X57" s="69">
        <v>18.925000000000001</v>
      </c>
      <c r="Y57" s="67">
        <v>106.92232</v>
      </c>
      <c r="Z57" s="72">
        <f t="shared" si="8"/>
        <v>122.96066799999998</v>
      </c>
      <c r="AA57" s="116">
        <v>105</v>
      </c>
      <c r="AB57" s="116">
        <v>103</v>
      </c>
      <c r="AC57" s="116">
        <v>22</v>
      </c>
      <c r="AD57" s="113">
        <f t="shared" si="9"/>
        <v>227.960668</v>
      </c>
      <c r="AE57" s="113">
        <f t="shared" si="10"/>
        <v>225.960668</v>
      </c>
      <c r="AF57" s="113">
        <f t="shared" si="11"/>
        <v>144.960668</v>
      </c>
    </row>
    <row r="58" spans="1:32" s="29" customFormat="1" x14ac:dyDescent="0.2">
      <c r="A58" s="26"/>
      <c r="B58" s="38">
        <v>500</v>
      </c>
      <c r="C58" s="76">
        <v>0.5</v>
      </c>
      <c r="D58" s="27">
        <v>1.1000000000000001</v>
      </c>
      <c r="E58" s="42">
        <v>2.4</v>
      </c>
      <c r="F58" s="48">
        <v>2.64</v>
      </c>
      <c r="G58" s="28">
        <v>3.14</v>
      </c>
      <c r="H58" s="49">
        <v>8.2896000000000001</v>
      </c>
      <c r="I58" s="43">
        <v>0.55412499999999998</v>
      </c>
      <c r="J58" s="28">
        <v>19.55</v>
      </c>
      <c r="K58" s="54">
        <v>10.83314375</v>
      </c>
      <c r="L58" s="52">
        <v>1.8896250000000001</v>
      </c>
      <c r="M58" s="28">
        <v>2.23</v>
      </c>
      <c r="N58" s="49">
        <v>4.2138637499999998</v>
      </c>
      <c r="O58" s="43">
        <v>4.8</v>
      </c>
      <c r="P58" s="28">
        <v>5.67</v>
      </c>
      <c r="Q58" s="54">
        <v>27.215999999999998</v>
      </c>
      <c r="R58" s="60">
        <v>23.3366075</v>
      </c>
      <c r="S58" s="62">
        <v>0.75037500000000001</v>
      </c>
      <c r="T58" s="60">
        <v>3.9867423749999999</v>
      </c>
      <c r="U58" s="62">
        <v>54.539349874999992</v>
      </c>
      <c r="V58" s="60">
        <v>70.239999999999995</v>
      </c>
      <c r="W58" s="67">
        <v>757</v>
      </c>
      <c r="X58" s="69">
        <v>18.925000000000001</v>
      </c>
      <c r="Y58" s="67">
        <v>143.70434987499999</v>
      </c>
      <c r="Z58" s="72">
        <f t="shared" si="8"/>
        <v>165.26000235624997</v>
      </c>
      <c r="AA58" s="116">
        <v>105</v>
      </c>
      <c r="AB58" s="116">
        <v>103</v>
      </c>
      <c r="AC58" s="116">
        <v>22</v>
      </c>
      <c r="AD58" s="113">
        <f t="shared" si="9"/>
        <v>270.26000235624997</v>
      </c>
      <c r="AE58" s="113">
        <f t="shared" si="10"/>
        <v>268.26000235624997</v>
      </c>
      <c r="AF58" s="113">
        <f t="shared" si="11"/>
        <v>187.26000235624997</v>
      </c>
    </row>
    <row r="59" spans="1:32" s="33" customFormat="1" ht="13.5" thickBot="1" x14ac:dyDescent="0.25">
      <c r="A59" s="30"/>
      <c r="B59" s="39">
        <v>600</v>
      </c>
      <c r="C59" s="77">
        <v>0.6</v>
      </c>
      <c r="D59" s="31">
        <v>1.2</v>
      </c>
      <c r="E59" s="42">
        <v>2.5</v>
      </c>
      <c r="F59" s="50">
        <v>3</v>
      </c>
      <c r="G59" s="32">
        <v>3.14</v>
      </c>
      <c r="H59" s="51">
        <v>9.42</v>
      </c>
      <c r="I59" s="44">
        <v>0.6208800000000001</v>
      </c>
      <c r="J59" s="32">
        <v>19.55</v>
      </c>
      <c r="K59" s="55">
        <v>12.138204000000002</v>
      </c>
      <c r="L59" s="58">
        <v>2.0965199999999999</v>
      </c>
      <c r="M59" s="32">
        <v>2.23</v>
      </c>
      <c r="N59" s="51">
        <v>4.6752395999999994</v>
      </c>
      <c r="O59" s="44">
        <v>5</v>
      </c>
      <c r="P59" s="32">
        <v>5.67</v>
      </c>
      <c r="Q59" s="55">
        <v>28.35</v>
      </c>
      <c r="R59" s="61">
        <v>26.233443600000001</v>
      </c>
      <c r="S59" s="63">
        <v>0.90348000000000006</v>
      </c>
      <c r="T59" s="61">
        <v>4.8001892399999999</v>
      </c>
      <c r="U59" s="63">
        <v>59.383632840000004</v>
      </c>
      <c r="V59" s="61">
        <v>87.89</v>
      </c>
      <c r="W59" s="68">
        <v>757</v>
      </c>
      <c r="X59" s="70">
        <v>18.925000000000001</v>
      </c>
      <c r="Y59" s="68">
        <v>166.19863284000002</v>
      </c>
      <c r="Z59" s="72">
        <f t="shared" si="8"/>
        <v>191.12842776600002</v>
      </c>
      <c r="AA59" s="116">
        <v>123</v>
      </c>
      <c r="AB59" s="116">
        <v>121</v>
      </c>
      <c r="AC59" s="116">
        <v>26</v>
      </c>
      <c r="AD59" s="113">
        <f t="shared" si="9"/>
        <v>314.12842776600002</v>
      </c>
      <c r="AE59" s="113">
        <f t="shared" si="10"/>
        <v>312.12842776600002</v>
      </c>
      <c r="AF59" s="113">
        <f t="shared" si="11"/>
        <v>217.12842776600002</v>
      </c>
    </row>
    <row r="60" spans="1:32" s="29" customFormat="1" x14ac:dyDescent="0.2">
      <c r="A60" s="26"/>
      <c r="B60" s="40">
        <v>700</v>
      </c>
      <c r="C60" s="78">
        <v>0.7</v>
      </c>
      <c r="D60" s="34">
        <v>1.2999999999999998</v>
      </c>
      <c r="E60" s="42">
        <v>2.6</v>
      </c>
      <c r="F60" s="52">
        <v>3.3799999999999994</v>
      </c>
      <c r="G60" s="28">
        <v>3.14</v>
      </c>
      <c r="H60" s="49">
        <v>10.613199999999999</v>
      </c>
      <c r="I60" s="43">
        <v>0.66995499999999986</v>
      </c>
      <c r="J60" s="28">
        <v>19.55</v>
      </c>
      <c r="K60" s="54">
        <v>13.097620249999999</v>
      </c>
      <c r="L60" s="52">
        <v>2.3253949999999994</v>
      </c>
      <c r="M60" s="28">
        <v>2.23</v>
      </c>
      <c r="N60" s="49">
        <v>5.185630849999999</v>
      </c>
      <c r="O60" s="43">
        <v>5.2</v>
      </c>
      <c r="P60" s="28">
        <v>5.67</v>
      </c>
      <c r="Q60" s="54">
        <v>29.484000000000002</v>
      </c>
      <c r="R60" s="60">
        <v>28.896451099999997</v>
      </c>
      <c r="S60" s="62">
        <v>1.054605</v>
      </c>
      <c r="T60" s="60">
        <v>5.6031163649999991</v>
      </c>
      <c r="U60" s="62">
        <v>63.983567465</v>
      </c>
      <c r="V60" s="60">
        <v>114.2</v>
      </c>
      <c r="W60" s="67">
        <v>989</v>
      </c>
      <c r="X60" s="69">
        <v>24.725000000000001</v>
      </c>
      <c r="Y60" s="67">
        <v>202.908567465</v>
      </c>
      <c r="Z60" s="72">
        <f t="shared" si="8"/>
        <v>233.34485258474999</v>
      </c>
      <c r="AA60" s="116">
        <v>123</v>
      </c>
      <c r="AB60" s="116">
        <v>121</v>
      </c>
      <c r="AC60" s="116">
        <v>26</v>
      </c>
      <c r="AD60" s="113">
        <f t="shared" si="9"/>
        <v>356.34485258475002</v>
      </c>
      <c r="AE60" s="113">
        <f t="shared" si="10"/>
        <v>354.34485258475002</v>
      </c>
      <c r="AF60" s="113">
        <f t="shared" si="11"/>
        <v>259.34485258475002</v>
      </c>
    </row>
    <row r="61" spans="1:32" s="29" customFormat="1" x14ac:dyDescent="0.2">
      <c r="A61" s="26"/>
      <c r="B61" s="38">
        <v>800</v>
      </c>
      <c r="C61" s="76">
        <v>0.8</v>
      </c>
      <c r="D61" s="27">
        <v>1.4</v>
      </c>
      <c r="E61" s="42">
        <v>2.6999999999999997</v>
      </c>
      <c r="F61" s="48">
        <v>3.7799999999999994</v>
      </c>
      <c r="G61" s="28">
        <v>3.14</v>
      </c>
      <c r="H61" s="49">
        <v>11.869199999999999</v>
      </c>
      <c r="I61" s="43">
        <v>0.69663999999999981</v>
      </c>
      <c r="J61" s="28">
        <v>19.55</v>
      </c>
      <c r="K61" s="54">
        <v>13.619311999999997</v>
      </c>
      <c r="L61" s="52">
        <v>2.5809599999999993</v>
      </c>
      <c r="M61" s="28">
        <v>2.23</v>
      </c>
      <c r="N61" s="49">
        <v>5.7555407999999986</v>
      </c>
      <c r="O61" s="43">
        <v>5.3999999999999995</v>
      </c>
      <c r="P61" s="28">
        <v>5.67</v>
      </c>
      <c r="Q61" s="54">
        <v>30.617999999999995</v>
      </c>
      <c r="R61" s="60">
        <v>31.244052799999995</v>
      </c>
      <c r="S61" s="62">
        <v>1.1990400000000001</v>
      </c>
      <c r="T61" s="60">
        <v>6.3704995200000001</v>
      </c>
      <c r="U61" s="62">
        <v>68.232552319999982</v>
      </c>
      <c r="V61" s="60">
        <v>140.9</v>
      </c>
      <c r="W61" s="67">
        <v>989</v>
      </c>
      <c r="X61" s="69">
        <v>24.725000000000001</v>
      </c>
      <c r="Y61" s="67">
        <v>233.85755232</v>
      </c>
      <c r="Z61" s="72">
        <f t="shared" si="8"/>
        <v>268.93618516799995</v>
      </c>
      <c r="AA61" s="116">
        <v>145</v>
      </c>
      <c r="AB61" s="116">
        <v>143</v>
      </c>
      <c r="AC61" s="116">
        <v>30</v>
      </c>
      <c r="AD61" s="113">
        <f t="shared" si="9"/>
        <v>413.93618516799995</v>
      </c>
      <c r="AE61" s="113">
        <f t="shared" si="10"/>
        <v>411.93618516799995</v>
      </c>
      <c r="AF61" s="113">
        <f t="shared" si="11"/>
        <v>298.93618516799995</v>
      </c>
    </row>
    <row r="62" spans="1:32" s="29" customFormat="1" x14ac:dyDescent="0.2">
      <c r="A62" s="26"/>
      <c r="B62" s="38">
        <v>900</v>
      </c>
      <c r="C62" s="76">
        <v>0.9</v>
      </c>
      <c r="D62" s="27">
        <v>1.5</v>
      </c>
      <c r="E62" s="42">
        <v>2.8</v>
      </c>
      <c r="F62" s="48">
        <v>4.1999999999999993</v>
      </c>
      <c r="G62" s="28">
        <v>3.14</v>
      </c>
      <c r="H62" s="49">
        <v>13.187999999999999</v>
      </c>
      <c r="I62" s="43">
        <v>0.69622500000000009</v>
      </c>
      <c r="J62" s="28">
        <v>19.55</v>
      </c>
      <c r="K62" s="54">
        <v>13.611198750000002</v>
      </c>
      <c r="L62" s="52">
        <v>2.8679249999999992</v>
      </c>
      <c r="M62" s="28">
        <v>2.23</v>
      </c>
      <c r="N62" s="49">
        <v>6.3954727499999979</v>
      </c>
      <c r="O62" s="43">
        <v>5.6</v>
      </c>
      <c r="P62" s="28">
        <v>5.67</v>
      </c>
      <c r="Q62" s="54">
        <v>31.751999999999999</v>
      </c>
      <c r="R62" s="60">
        <v>33.194671499999998</v>
      </c>
      <c r="S62" s="62">
        <v>1.3320750000000001</v>
      </c>
      <c r="T62" s="60">
        <v>7.0773144750000005</v>
      </c>
      <c r="U62" s="62">
        <v>72.023985974999988</v>
      </c>
      <c r="V62" s="60">
        <v>149</v>
      </c>
      <c r="W62" s="67">
        <v>989</v>
      </c>
      <c r="X62" s="69">
        <v>24.725000000000001</v>
      </c>
      <c r="Y62" s="67">
        <v>245.74898597499998</v>
      </c>
      <c r="Z62" s="72">
        <f t="shared" si="8"/>
        <v>282.61133387124994</v>
      </c>
      <c r="AA62" s="116">
        <v>145</v>
      </c>
      <c r="AB62" s="116">
        <v>143</v>
      </c>
      <c r="AC62" s="116">
        <v>30</v>
      </c>
      <c r="AD62" s="113">
        <f t="shared" si="9"/>
        <v>427.61133387124994</v>
      </c>
      <c r="AE62" s="113">
        <f t="shared" si="10"/>
        <v>425.61133387124994</v>
      </c>
      <c r="AF62" s="113">
        <f t="shared" si="11"/>
        <v>312.61133387124994</v>
      </c>
    </row>
    <row r="63" spans="1:32" s="29" customFormat="1" x14ac:dyDescent="0.2">
      <c r="A63" s="26"/>
      <c r="B63" s="38">
        <v>1000</v>
      </c>
      <c r="C63" s="76">
        <v>1</v>
      </c>
      <c r="D63" s="27">
        <v>1.6</v>
      </c>
      <c r="E63" s="42">
        <v>2.9</v>
      </c>
      <c r="F63" s="48">
        <v>4.6399999999999997</v>
      </c>
      <c r="G63" s="28">
        <v>3.14</v>
      </c>
      <c r="H63" s="49">
        <v>14.569599999999999</v>
      </c>
      <c r="I63" s="43">
        <v>0.66399999999999992</v>
      </c>
      <c r="J63" s="28">
        <v>19.55</v>
      </c>
      <c r="K63" s="54">
        <v>12.981199999999999</v>
      </c>
      <c r="L63" s="52">
        <v>3.1909999999999998</v>
      </c>
      <c r="M63" s="28">
        <v>2.23</v>
      </c>
      <c r="N63" s="49">
        <v>7.1159299999999996</v>
      </c>
      <c r="O63" s="43">
        <v>5.8</v>
      </c>
      <c r="P63" s="28">
        <v>5.67</v>
      </c>
      <c r="Q63" s="54">
        <v>32.885999999999996</v>
      </c>
      <c r="R63" s="60">
        <v>34.666730000000001</v>
      </c>
      <c r="S63" s="62">
        <v>1.4489999999999998</v>
      </c>
      <c r="T63" s="60">
        <v>7.6985369999999991</v>
      </c>
      <c r="U63" s="62">
        <v>75.251266999999999</v>
      </c>
      <c r="V63" s="60">
        <v>166.5</v>
      </c>
      <c r="W63" s="67">
        <v>989</v>
      </c>
      <c r="X63" s="69">
        <v>24.725000000000001</v>
      </c>
      <c r="Y63" s="67">
        <v>266.47626700000001</v>
      </c>
      <c r="Z63" s="72">
        <f t="shared" si="8"/>
        <v>306.44770704999996</v>
      </c>
      <c r="AA63" s="116">
        <v>171</v>
      </c>
      <c r="AB63" s="116">
        <v>169</v>
      </c>
      <c r="AC63" s="116">
        <v>34</v>
      </c>
      <c r="AD63" s="113">
        <f t="shared" si="9"/>
        <v>477.44770704999996</v>
      </c>
      <c r="AE63" s="113">
        <f t="shared" si="10"/>
        <v>475.44770704999996</v>
      </c>
      <c r="AF63" s="113">
        <f t="shared" si="11"/>
        <v>340.44770704999996</v>
      </c>
    </row>
    <row r="64" spans="1:32" s="29" customFormat="1" ht="13.5" thickBot="1" x14ac:dyDescent="0.25">
      <c r="A64" s="26"/>
      <c r="B64" s="39">
        <v>1250</v>
      </c>
      <c r="C64" s="77">
        <v>1.25</v>
      </c>
      <c r="D64" s="31">
        <v>1.85</v>
      </c>
      <c r="E64" s="75">
        <v>3.15</v>
      </c>
      <c r="F64" s="50">
        <v>5.8274999999999997</v>
      </c>
      <c r="G64" s="32">
        <v>3.14</v>
      </c>
      <c r="H64" s="51">
        <v>18.298349999999999</v>
      </c>
      <c r="I64" s="44">
        <v>0.41335937499999992</v>
      </c>
      <c r="J64" s="32">
        <v>19.55</v>
      </c>
      <c r="K64" s="55">
        <v>8.081175781249998</v>
      </c>
      <c r="L64" s="58">
        <v>4.1875781249999999</v>
      </c>
      <c r="M64" s="32">
        <v>2.23</v>
      </c>
      <c r="N64" s="51">
        <v>9.3382992187500005</v>
      </c>
      <c r="O64" s="44">
        <v>6.3</v>
      </c>
      <c r="P64" s="32">
        <v>5.67</v>
      </c>
      <c r="Q64" s="55">
        <v>35.720999999999997</v>
      </c>
      <c r="R64" s="61">
        <v>35.717824999999998</v>
      </c>
      <c r="S64" s="63">
        <v>1.6399218749999998</v>
      </c>
      <c r="T64" s="61">
        <v>8.7129049218749994</v>
      </c>
      <c r="U64" s="63">
        <v>80.151729921874988</v>
      </c>
      <c r="V64" s="61">
        <v>203.43</v>
      </c>
      <c r="W64" s="68">
        <v>989</v>
      </c>
      <c r="X64" s="71">
        <v>24.725000000000001</v>
      </c>
      <c r="Y64" s="68">
        <v>308.30672992187499</v>
      </c>
      <c r="Z64" s="72">
        <f t="shared" si="8"/>
        <v>354.55273941015622</v>
      </c>
      <c r="AA64" s="117">
        <v>171</v>
      </c>
      <c r="AB64" s="117">
        <v>169</v>
      </c>
      <c r="AC64" s="117">
        <v>34</v>
      </c>
      <c r="AD64" s="114">
        <f t="shared" si="9"/>
        <v>525.55273941015616</v>
      </c>
      <c r="AE64" s="114">
        <f t="shared" si="10"/>
        <v>523.55273941015616</v>
      </c>
      <c r="AF64" s="114">
        <f t="shared" si="11"/>
        <v>388.55273941015622</v>
      </c>
    </row>
    <row r="66" spans="1:32" x14ac:dyDescent="0.2">
      <c r="A66" s="7"/>
      <c r="B66" s="8" t="s">
        <v>142</v>
      </c>
      <c r="C66" s="8"/>
      <c r="D66" s="7"/>
      <c r="E66" s="35"/>
      <c r="F66" s="35"/>
      <c r="G66" s="35"/>
      <c r="J66" s="35"/>
      <c r="K66" s="8"/>
    </row>
    <row r="67" spans="1:32" ht="13.5" thickBot="1" x14ac:dyDescent="0.25">
      <c r="A67" s="7"/>
      <c r="B67" s="8"/>
      <c r="C67" s="3"/>
      <c r="D67" s="2"/>
    </row>
    <row r="68" spans="1:32" s="9" customFormat="1" ht="53.25" customHeight="1" thickBot="1" x14ac:dyDescent="0.25">
      <c r="B68" s="1059" t="s">
        <v>24</v>
      </c>
      <c r="C68" s="1060"/>
      <c r="D68" s="1060"/>
      <c r="E68" s="1061"/>
      <c r="F68" s="1059" t="s">
        <v>1</v>
      </c>
      <c r="G68" s="1060"/>
      <c r="H68" s="1061"/>
      <c r="I68" s="1059" t="s">
        <v>2</v>
      </c>
      <c r="J68" s="1060"/>
      <c r="K68" s="1061"/>
      <c r="L68" s="1059" t="s">
        <v>3</v>
      </c>
      <c r="M68" s="1060"/>
      <c r="N68" s="1061"/>
      <c r="O68" s="1059" t="s">
        <v>4</v>
      </c>
      <c r="P68" s="1060"/>
      <c r="Q68" s="1060"/>
      <c r="R68" s="10" t="s">
        <v>19</v>
      </c>
      <c r="S68" s="10" t="s">
        <v>31</v>
      </c>
      <c r="T68" s="10" t="s">
        <v>32</v>
      </c>
      <c r="U68" s="10" t="s">
        <v>5</v>
      </c>
      <c r="V68" s="10" t="s">
        <v>18</v>
      </c>
      <c r="W68" s="10" t="s">
        <v>37</v>
      </c>
      <c r="X68" s="10" t="s">
        <v>20</v>
      </c>
      <c r="Y68" s="152" t="s">
        <v>23</v>
      </c>
      <c r="Z68" s="19" t="s">
        <v>39</v>
      </c>
      <c r="AA68" s="1059" t="s">
        <v>93</v>
      </c>
      <c r="AB68" s="1060"/>
      <c r="AC68" s="1061"/>
      <c r="AD68" s="1062" t="s">
        <v>97</v>
      </c>
      <c r="AE68" s="1063"/>
      <c r="AF68" s="1064"/>
    </row>
    <row r="69" spans="1:32" s="20" customFormat="1" ht="13.5" thickBot="1" x14ac:dyDescent="0.25">
      <c r="A69" s="12"/>
      <c r="B69" s="13"/>
      <c r="C69" s="14"/>
      <c r="D69" s="15"/>
      <c r="E69" s="84"/>
      <c r="F69" s="57"/>
      <c r="G69" s="16" t="s">
        <v>6</v>
      </c>
      <c r="H69" s="16" t="s">
        <v>6</v>
      </c>
      <c r="I69" s="56"/>
      <c r="J69" s="16" t="s">
        <v>6</v>
      </c>
      <c r="K69" s="16" t="s">
        <v>6</v>
      </c>
      <c r="L69" s="15"/>
      <c r="M69" s="16" t="s">
        <v>6</v>
      </c>
      <c r="N69" s="16" t="s">
        <v>6</v>
      </c>
      <c r="O69" s="15"/>
      <c r="P69" s="16" t="s">
        <v>6</v>
      </c>
      <c r="Q69" s="16" t="s">
        <v>6</v>
      </c>
      <c r="R69" s="17" t="s">
        <v>6</v>
      </c>
      <c r="S69" s="18"/>
      <c r="T69" s="66" t="s">
        <v>33</v>
      </c>
      <c r="U69" s="64" t="s">
        <v>6</v>
      </c>
      <c r="V69" s="19"/>
      <c r="W69" s="64"/>
      <c r="X69" s="19"/>
      <c r="Y69" s="64"/>
      <c r="Z69" s="19" t="s">
        <v>6</v>
      </c>
      <c r="AA69" s="80" t="s">
        <v>6</v>
      </c>
      <c r="AB69" s="80" t="s">
        <v>6</v>
      </c>
      <c r="AC69" s="80" t="s">
        <v>6</v>
      </c>
      <c r="AD69" s="108" t="s">
        <v>6</v>
      </c>
      <c r="AE69" s="109" t="s">
        <v>6</v>
      </c>
      <c r="AF69" s="110" t="s">
        <v>6</v>
      </c>
    </row>
    <row r="70" spans="1:32" s="9" customFormat="1" ht="51.75" thickBot="1" x14ac:dyDescent="0.25">
      <c r="A70" s="80"/>
      <c r="B70" s="81" t="s">
        <v>7</v>
      </c>
      <c r="C70" s="82" t="s">
        <v>8</v>
      </c>
      <c r="D70" s="79" t="s">
        <v>9</v>
      </c>
      <c r="E70" s="22" t="s">
        <v>30</v>
      </c>
      <c r="F70" s="81" t="s">
        <v>10</v>
      </c>
      <c r="G70" s="21" t="s">
        <v>11</v>
      </c>
      <c r="H70" s="21" t="s">
        <v>12</v>
      </c>
      <c r="I70" s="83" t="s">
        <v>13</v>
      </c>
      <c r="J70" s="21" t="s">
        <v>11</v>
      </c>
      <c r="K70" s="21" t="s">
        <v>12</v>
      </c>
      <c r="L70" s="79" t="s">
        <v>14</v>
      </c>
      <c r="M70" s="21" t="s">
        <v>11</v>
      </c>
      <c r="N70" s="21" t="s">
        <v>12</v>
      </c>
      <c r="O70" s="79" t="s">
        <v>15</v>
      </c>
      <c r="P70" s="21" t="s">
        <v>16</v>
      </c>
      <c r="Q70" s="21" t="s">
        <v>12</v>
      </c>
      <c r="R70" s="21" t="s">
        <v>12</v>
      </c>
      <c r="S70" s="22" t="s">
        <v>34</v>
      </c>
      <c r="T70" s="23" t="s">
        <v>35</v>
      </c>
      <c r="U70" s="65" t="s">
        <v>12</v>
      </c>
      <c r="V70" s="23" t="s">
        <v>21</v>
      </c>
      <c r="W70" s="65" t="s">
        <v>22</v>
      </c>
      <c r="X70" s="23" t="s">
        <v>21</v>
      </c>
      <c r="Y70" s="65" t="s">
        <v>12</v>
      </c>
      <c r="Z70" s="23" t="s">
        <v>12</v>
      </c>
      <c r="AA70" s="107" t="s">
        <v>94</v>
      </c>
      <c r="AB70" s="107" t="s">
        <v>95</v>
      </c>
      <c r="AC70" s="107" t="s">
        <v>96</v>
      </c>
      <c r="AD70" s="111" t="s">
        <v>94</v>
      </c>
      <c r="AE70" s="111" t="s">
        <v>95</v>
      </c>
      <c r="AF70" s="111" t="s">
        <v>96</v>
      </c>
    </row>
    <row r="71" spans="1:32" s="29" customFormat="1" x14ac:dyDescent="0.2">
      <c r="A71" s="26"/>
      <c r="B71" s="38">
        <v>150</v>
      </c>
      <c r="C71" s="76">
        <v>0.16</v>
      </c>
      <c r="D71" s="27">
        <v>0.76</v>
      </c>
      <c r="E71" s="42">
        <v>2.56</v>
      </c>
      <c r="F71" s="48">
        <v>1.9456</v>
      </c>
      <c r="G71" s="28">
        <v>3.14</v>
      </c>
      <c r="H71" s="49">
        <v>6.1091839999999999</v>
      </c>
      <c r="I71" s="43">
        <v>0.25832704000000001</v>
      </c>
      <c r="J71" s="28">
        <v>19.55</v>
      </c>
      <c r="K71" s="54">
        <v>5.0502936320000007</v>
      </c>
      <c r="L71" s="45">
        <v>1.6671769599999999</v>
      </c>
      <c r="M71" s="46">
        <v>2.23</v>
      </c>
      <c r="N71" s="47">
        <v>3.7178046208</v>
      </c>
      <c r="O71" s="43">
        <v>5.12</v>
      </c>
      <c r="P71" s="28">
        <v>5.67</v>
      </c>
      <c r="Q71" s="54">
        <v>29.0304</v>
      </c>
      <c r="R71" s="59">
        <v>14.877282252800001</v>
      </c>
      <c r="S71" s="62">
        <v>0.27842304000000007</v>
      </c>
      <c r="T71" s="60">
        <v>1.4792616115200001</v>
      </c>
      <c r="U71" s="62">
        <v>45.386943864320003</v>
      </c>
      <c r="V71" s="60">
        <v>9.8699999999999992</v>
      </c>
      <c r="W71" s="67">
        <v>757</v>
      </c>
      <c r="X71" s="69">
        <v>18.925000000000001</v>
      </c>
      <c r="Y71" s="67">
        <v>74.181943864320004</v>
      </c>
      <c r="Z71" s="72">
        <f t="shared" ref="Z71:Z83" si="12">Y71*1.15</f>
        <v>85.309235443967992</v>
      </c>
      <c r="AA71" s="115">
        <v>73</v>
      </c>
      <c r="AB71" s="115">
        <v>72</v>
      </c>
      <c r="AC71" s="115">
        <v>15</v>
      </c>
      <c r="AD71" s="112">
        <f t="shared" ref="AD71:AD83" si="13">(Z71+AA71)*$AG$7</f>
        <v>158.30923544396799</v>
      </c>
      <c r="AE71" s="112">
        <f t="shared" ref="AE71:AE83" si="14">(Z71+AB71)*$AG$7</f>
        <v>157.30923544396799</v>
      </c>
      <c r="AF71" s="112">
        <f t="shared" ref="AF71:AF83" si="15">(Z71+AC71)*$AG$7</f>
        <v>100.30923544396799</v>
      </c>
    </row>
    <row r="72" spans="1:32" s="29" customFormat="1" x14ac:dyDescent="0.2">
      <c r="A72" s="26"/>
      <c r="B72" s="38">
        <v>200</v>
      </c>
      <c r="C72" s="76">
        <v>0.2</v>
      </c>
      <c r="D72" s="27">
        <v>0.8</v>
      </c>
      <c r="E72" s="42">
        <v>2.6</v>
      </c>
      <c r="F72" s="48">
        <v>2.08</v>
      </c>
      <c r="G72" s="28">
        <v>3.14</v>
      </c>
      <c r="H72" s="49">
        <v>6.5312000000000001</v>
      </c>
      <c r="I72" s="43">
        <v>0.29488000000000003</v>
      </c>
      <c r="J72" s="28">
        <v>19.55</v>
      </c>
      <c r="K72" s="54">
        <v>5.7649040000000005</v>
      </c>
      <c r="L72" s="52">
        <v>1.7537199999999999</v>
      </c>
      <c r="M72" s="28">
        <v>2.23</v>
      </c>
      <c r="N72" s="49">
        <v>3.9107955999999997</v>
      </c>
      <c r="O72" s="43">
        <v>5.2</v>
      </c>
      <c r="P72" s="28">
        <v>5.67</v>
      </c>
      <c r="Q72" s="54">
        <v>29.484000000000002</v>
      </c>
      <c r="R72" s="60">
        <v>16.2068996</v>
      </c>
      <c r="S72" s="62">
        <v>0.32628000000000013</v>
      </c>
      <c r="T72" s="60">
        <v>1.7335256400000005</v>
      </c>
      <c r="U72" s="62">
        <v>47.424425240000005</v>
      </c>
      <c r="V72" s="60">
        <v>11.9</v>
      </c>
      <c r="W72" s="67">
        <v>757</v>
      </c>
      <c r="X72" s="69">
        <v>18.925000000000001</v>
      </c>
      <c r="Y72" s="67">
        <v>78.249425240000008</v>
      </c>
      <c r="Z72" s="72">
        <f t="shared" si="12"/>
        <v>89.986839025999998</v>
      </c>
      <c r="AA72" s="116">
        <v>82</v>
      </c>
      <c r="AB72" s="116">
        <v>81</v>
      </c>
      <c r="AC72" s="116">
        <v>17</v>
      </c>
      <c r="AD72" s="113">
        <f t="shared" si="13"/>
        <v>171.98683902599998</v>
      </c>
      <c r="AE72" s="113">
        <f t="shared" si="14"/>
        <v>170.98683902599998</v>
      </c>
      <c r="AF72" s="113">
        <f t="shared" si="15"/>
        <v>106.986839026</v>
      </c>
    </row>
    <row r="73" spans="1:32" s="29" customFormat="1" x14ac:dyDescent="0.2">
      <c r="A73" s="26"/>
      <c r="B73" s="38">
        <v>250</v>
      </c>
      <c r="C73" s="76">
        <v>0.25</v>
      </c>
      <c r="D73" s="27">
        <v>0.85</v>
      </c>
      <c r="E73" s="42">
        <v>2.65</v>
      </c>
      <c r="F73" s="48">
        <v>2.2524999999999999</v>
      </c>
      <c r="G73" s="28">
        <v>3.14</v>
      </c>
      <c r="H73" s="49">
        <v>7.0728499999999999</v>
      </c>
      <c r="I73" s="43">
        <v>0.340796875</v>
      </c>
      <c r="J73" s="28">
        <v>19.55</v>
      </c>
      <c r="K73" s="54">
        <v>6.6625789062500003</v>
      </c>
      <c r="L73" s="52">
        <v>1.8626406249999998</v>
      </c>
      <c r="M73" s="28">
        <v>2.23</v>
      </c>
      <c r="N73" s="49">
        <v>4.1536885937499992</v>
      </c>
      <c r="O73" s="43">
        <v>5.3</v>
      </c>
      <c r="P73" s="28">
        <v>5.67</v>
      </c>
      <c r="Q73" s="54">
        <v>30.050999999999998</v>
      </c>
      <c r="R73" s="60">
        <v>17.889117499999998</v>
      </c>
      <c r="S73" s="62">
        <v>0.38985937500000012</v>
      </c>
      <c r="T73" s="60">
        <v>2.0713228593750004</v>
      </c>
      <c r="U73" s="62">
        <v>50.011440359375001</v>
      </c>
      <c r="V73" s="60">
        <v>17</v>
      </c>
      <c r="W73" s="67">
        <v>757</v>
      </c>
      <c r="X73" s="69">
        <v>18.925000000000001</v>
      </c>
      <c r="Y73" s="67">
        <v>85.936440359374998</v>
      </c>
      <c r="Z73" s="512">
        <f t="shared" si="12"/>
        <v>98.826906413281236</v>
      </c>
      <c r="AA73" s="116">
        <v>82</v>
      </c>
      <c r="AB73" s="116">
        <v>81</v>
      </c>
      <c r="AC73" s="116">
        <v>17</v>
      </c>
      <c r="AD73" s="513">
        <f t="shared" si="13"/>
        <v>180.82690641328122</v>
      </c>
      <c r="AE73" s="113">
        <f t="shared" si="14"/>
        <v>179.82690641328122</v>
      </c>
      <c r="AF73" s="113">
        <f t="shared" si="15"/>
        <v>115.82690641328124</v>
      </c>
    </row>
    <row r="74" spans="1:32" s="29" customFormat="1" x14ac:dyDescent="0.2">
      <c r="A74" s="26"/>
      <c r="B74" s="38">
        <v>300</v>
      </c>
      <c r="C74" s="76">
        <v>0.315</v>
      </c>
      <c r="D74" s="27">
        <v>0.91500000000000004</v>
      </c>
      <c r="E74" s="42">
        <v>2.7149999999999999</v>
      </c>
      <c r="F74" s="48">
        <v>2.4842249999999999</v>
      </c>
      <c r="G74" s="28">
        <v>3.14</v>
      </c>
      <c r="H74" s="49">
        <v>7.8004664999999997</v>
      </c>
      <c r="I74" s="43">
        <v>0.39995416312499998</v>
      </c>
      <c r="J74" s="28">
        <v>19.55</v>
      </c>
      <c r="K74" s="54">
        <v>7.8191038890937499</v>
      </c>
      <c r="L74" s="52">
        <v>2.0063792118750001</v>
      </c>
      <c r="M74" s="28">
        <v>2.23</v>
      </c>
      <c r="N74" s="49">
        <v>4.4742256424812501</v>
      </c>
      <c r="O74" s="43">
        <v>5.43</v>
      </c>
      <c r="P74" s="28">
        <v>5.67</v>
      </c>
      <c r="Q74" s="54">
        <v>30.788099999999996</v>
      </c>
      <c r="R74" s="60">
        <v>20.093796031575</v>
      </c>
      <c r="S74" s="62">
        <v>0.47784578812499978</v>
      </c>
      <c r="T74" s="60">
        <v>2.5387946723081236</v>
      </c>
      <c r="U74" s="62">
        <v>53.420690703883118</v>
      </c>
      <c r="V74" s="60">
        <v>24.68</v>
      </c>
      <c r="W74" s="67">
        <v>757</v>
      </c>
      <c r="X74" s="69">
        <v>18.925000000000001</v>
      </c>
      <c r="Y74" s="67">
        <v>97.025690703883114</v>
      </c>
      <c r="Z74" s="72">
        <f t="shared" si="12"/>
        <v>111.57954430946558</v>
      </c>
      <c r="AA74" s="116">
        <v>91</v>
      </c>
      <c r="AB74" s="116">
        <v>90</v>
      </c>
      <c r="AC74" s="116">
        <v>19</v>
      </c>
      <c r="AD74" s="113">
        <f t="shared" si="13"/>
        <v>202.57954430946558</v>
      </c>
      <c r="AE74" s="113">
        <f t="shared" si="14"/>
        <v>201.57954430946558</v>
      </c>
      <c r="AF74" s="113">
        <f t="shared" si="15"/>
        <v>130.57954430946558</v>
      </c>
    </row>
    <row r="75" spans="1:32" s="29" customFormat="1" x14ac:dyDescent="0.2">
      <c r="A75" s="26"/>
      <c r="B75" s="38">
        <v>355</v>
      </c>
      <c r="C75" s="76">
        <v>0.35499999999999998</v>
      </c>
      <c r="D75" s="27">
        <v>0.95499999999999996</v>
      </c>
      <c r="E75" s="42">
        <v>2.7549999999999999</v>
      </c>
      <c r="F75" s="48">
        <v>2.6310249999999997</v>
      </c>
      <c r="G75" s="28">
        <v>3.14</v>
      </c>
      <c r="H75" s="49">
        <v>8.2614184999999996</v>
      </c>
      <c r="I75" s="43">
        <v>0.43554720812499992</v>
      </c>
      <c r="J75" s="28">
        <v>19.55</v>
      </c>
      <c r="K75" s="54">
        <v>8.5149479188437489</v>
      </c>
      <c r="L75" s="52">
        <v>2.0965481668749999</v>
      </c>
      <c r="M75" s="28">
        <v>2.23</v>
      </c>
      <c r="N75" s="49">
        <v>4.6753024121312494</v>
      </c>
      <c r="O75" s="43">
        <v>5.51</v>
      </c>
      <c r="P75" s="28">
        <v>5.67</v>
      </c>
      <c r="Q75" s="54">
        <v>31.241699999999998</v>
      </c>
      <c r="R75" s="60">
        <v>21.451668830974999</v>
      </c>
      <c r="S75" s="62">
        <v>0.53447683312499983</v>
      </c>
      <c r="T75" s="60">
        <v>2.8396754143931235</v>
      </c>
      <c r="U75" s="62">
        <v>55.533044245368117</v>
      </c>
      <c r="V75" s="60">
        <v>31.35</v>
      </c>
      <c r="W75" s="67">
        <v>757</v>
      </c>
      <c r="X75" s="69">
        <v>18.925000000000001</v>
      </c>
      <c r="Y75" s="67">
        <v>105.80804424536812</v>
      </c>
      <c r="Z75" s="72">
        <f t="shared" si="12"/>
        <v>121.67925088217333</v>
      </c>
      <c r="AA75" s="116">
        <v>91</v>
      </c>
      <c r="AB75" s="116">
        <v>90</v>
      </c>
      <c r="AC75" s="116">
        <v>19</v>
      </c>
      <c r="AD75" s="113">
        <f t="shared" si="13"/>
        <v>212.67925088217333</v>
      </c>
      <c r="AE75" s="113">
        <f t="shared" si="14"/>
        <v>211.67925088217333</v>
      </c>
      <c r="AF75" s="113">
        <f t="shared" si="15"/>
        <v>140.67925088217333</v>
      </c>
    </row>
    <row r="76" spans="1:32" s="29" customFormat="1" x14ac:dyDescent="0.2">
      <c r="A76" s="26"/>
      <c r="B76" s="38">
        <v>400</v>
      </c>
      <c r="C76" s="76">
        <v>0.4</v>
      </c>
      <c r="D76" s="27">
        <v>1</v>
      </c>
      <c r="E76" s="42">
        <v>2.8</v>
      </c>
      <c r="F76" s="48">
        <v>2.8</v>
      </c>
      <c r="G76" s="28">
        <v>3.14</v>
      </c>
      <c r="H76" s="49">
        <v>8.7919999999999998</v>
      </c>
      <c r="I76" s="43">
        <v>0.47440000000000004</v>
      </c>
      <c r="J76" s="28">
        <v>19.55</v>
      </c>
      <c r="K76" s="54">
        <v>9.2745200000000008</v>
      </c>
      <c r="L76" s="52">
        <v>2.1999999999999997</v>
      </c>
      <c r="M76" s="28">
        <v>2.23</v>
      </c>
      <c r="N76" s="49">
        <v>4.9059999999999997</v>
      </c>
      <c r="O76" s="43">
        <v>5.6</v>
      </c>
      <c r="P76" s="28">
        <v>5.67</v>
      </c>
      <c r="Q76" s="54">
        <v>31.751999999999999</v>
      </c>
      <c r="R76" s="60">
        <v>22.972519999999999</v>
      </c>
      <c r="S76" s="62">
        <v>0.60000000000000009</v>
      </c>
      <c r="T76" s="60">
        <v>3.1878000000000002</v>
      </c>
      <c r="U76" s="62">
        <v>57.912320000000001</v>
      </c>
      <c r="V76" s="60">
        <v>38.44</v>
      </c>
      <c r="W76" s="67">
        <v>757</v>
      </c>
      <c r="X76" s="69">
        <v>18.925000000000001</v>
      </c>
      <c r="Y76" s="67">
        <v>115.27731999999999</v>
      </c>
      <c r="Z76" s="72">
        <f t="shared" si="12"/>
        <v>132.56891799999997</v>
      </c>
      <c r="AA76" s="116">
        <v>105</v>
      </c>
      <c r="AB76" s="116">
        <v>103</v>
      </c>
      <c r="AC76" s="116">
        <v>22</v>
      </c>
      <c r="AD76" s="113">
        <f t="shared" si="13"/>
        <v>237.56891799999997</v>
      </c>
      <c r="AE76" s="113">
        <f t="shared" si="14"/>
        <v>235.56891799999997</v>
      </c>
      <c r="AF76" s="113">
        <f t="shared" si="15"/>
        <v>154.56891799999997</v>
      </c>
    </row>
    <row r="77" spans="1:32" s="29" customFormat="1" x14ac:dyDescent="0.2">
      <c r="A77" s="26"/>
      <c r="B77" s="38">
        <v>500</v>
      </c>
      <c r="C77" s="76">
        <v>0.5</v>
      </c>
      <c r="D77" s="27">
        <v>1.1000000000000001</v>
      </c>
      <c r="E77" s="42">
        <v>2.9</v>
      </c>
      <c r="F77" s="48">
        <v>3.19</v>
      </c>
      <c r="G77" s="28">
        <v>3.14</v>
      </c>
      <c r="H77" s="49">
        <v>10.0166</v>
      </c>
      <c r="I77" s="43">
        <v>0.55412499999999998</v>
      </c>
      <c r="J77" s="28">
        <v>19.55</v>
      </c>
      <c r="K77" s="54">
        <v>10.83314375</v>
      </c>
      <c r="L77" s="52">
        <v>2.4396249999999999</v>
      </c>
      <c r="M77" s="28">
        <v>2.23</v>
      </c>
      <c r="N77" s="49">
        <v>5.4403637499999995</v>
      </c>
      <c r="O77" s="43">
        <v>5.8</v>
      </c>
      <c r="P77" s="28">
        <v>5.67</v>
      </c>
      <c r="Q77" s="54">
        <v>32.885999999999996</v>
      </c>
      <c r="R77" s="60">
        <v>26.290107500000001</v>
      </c>
      <c r="S77" s="62">
        <v>0.75037500000000001</v>
      </c>
      <c r="T77" s="60">
        <v>3.9867423749999999</v>
      </c>
      <c r="U77" s="62">
        <v>63.162849874999999</v>
      </c>
      <c r="V77" s="60">
        <v>70.239999999999995</v>
      </c>
      <c r="W77" s="67">
        <v>757</v>
      </c>
      <c r="X77" s="69">
        <v>18.925000000000001</v>
      </c>
      <c r="Y77" s="67">
        <v>152.327849875</v>
      </c>
      <c r="Z77" s="72">
        <f t="shared" si="12"/>
        <v>175.17702735624999</v>
      </c>
      <c r="AA77" s="116">
        <v>105</v>
      </c>
      <c r="AB77" s="116">
        <v>103</v>
      </c>
      <c r="AC77" s="116">
        <v>22</v>
      </c>
      <c r="AD77" s="113">
        <f t="shared" si="13"/>
        <v>280.17702735624999</v>
      </c>
      <c r="AE77" s="113">
        <f t="shared" si="14"/>
        <v>278.17702735624999</v>
      </c>
      <c r="AF77" s="113">
        <f t="shared" si="15"/>
        <v>197.17702735624999</v>
      </c>
    </row>
    <row r="78" spans="1:32" s="33" customFormat="1" ht="13.5" thickBot="1" x14ac:dyDescent="0.25">
      <c r="A78" s="30"/>
      <c r="B78" s="39">
        <v>600</v>
      </c>
      <c r="C78" s="77">
        <v>0.6</v>
      </c>
      <c r="D78" s="31">
        <v>1.2</v>
      </c>
      <c r="E78" s="85">
        <v>3</v>
      </c>
      <c r="F78" s="50">
        <v>3.5999999999999996</v>
      </c>
      <c r="G78" s="32">
        <v>3.14</v>
      </c>
      <c r="H78" s="51">
        <v>11.303999999999998</v>
      </c>
      <c r="I78" s="44">
        <v>0.6208800000000001</v>
      </c>
      <c r="J78" s="32">
        <v>19.55</v>
      </c>
      <c r="K78" s="55">
        <v>12.138204000000002</v>
      </c>
      <c r="L78" s="58">
        <v>2.6965199999999996</v>
      </c>
      <c r="M78" s="32">
        <v>2.23</v>
      </c>
      <c r="N78" s="51">
        <v>6.0132395999999995</v>
      </c>
      <c r="O78" s="44">
        <v>6</v>
      </c>
      <c r="P78" s="32">
        <v>5.67</v>
      </c>
      <c r="Q78" s="55">
        <v>34.019999999999996</v>
      </c>
      <c r="R78" s="61">
        <v>29.455443599999999</v>
      </c>
      <c r="S78" s="63">
        <v>0.90348000000000006</v>
      </c>
      <c r="T78" s="61">
        <v>4.8001892399999999</v>
      </c>
      <c r="U78" s="63">
        <v>68.275632839999986</v>
      </c>
      <c r="V78" s="61">
        <v>87.89</v>
      </c>
      <c r="W78" s="68">
        <v>757</v>
      </c>
      <c r="X78" s="70">
        <v>18.925000000000001</v>
      </c>
      <c r="Y78" s="68">
        <v>175.09063284000001</v>
      </c>
      <c r="Z78" s="72">
        <f t="shared" si="12"/>
        <v>201.35422776600001</v>
      </c>
      <c r="AA78" s="116">
        <v>123</v>
      </c>
      <c r="AB78" s="116">
        <v>121</v>
      </c>
      <c r="AC78" s="116">
        <v>26</v>
      </c>
      <c r="AD78" s="113">
        <f t="shared" si="13"/>
        <v>324.35422776600001</v>
      </c>
      <c r="AE78" s="113">
        <f t="shared" si="14"/>
        <v>322.35422776600001</v>
      </c>
      <c r="AF78" s="113">
        <f t="shared" si="15"/>
        <v>227.35422776600001</v>
      </c>
    </row>
    <row r="79" spans="1:32" s="29" customFormat="1" x14ac:dyDescent="0.2">
      <c r="A79" s="26"/>
      <c r="B79" s="40">
        <v>700</v>
      </c>
      <c r="C79" s="78">
        <v>0.7</v>
      </c>
      <c r="D79" s="34">
        <v>1.2999999999999998</v>
      </c>
      <c r="E79" s="42">
        <v>3.1</v>
      </c>
      <c r="F79" s="52">
        <v>4.0299999999999994</v>
      </c>
      <c r="G79" s="28">
        <v>3.14</v>
      </c>
      <c r="H79" s="49">
        <v>12.654199999999998</v>
      </c>
      <c r="I79" s="43">
        <v>0.66995499999999986</v>
      </c>
      <c r="J79" s="28">
        <v>19.55</v>
      </c>
      <c r="K79" s="54">
        <v>13.097620249999999</v>
      </c>
      <c r="L79" s="52">
        <v>2.9753949999999993</v>
      </c>
      <c r="M79" s="28">
        <v>2.23</v>
      </c>
      <c r="N79" s="49">
        <v>6.6351308499999986</v>
      </c>
      <c r="O79" s="43">
        <v>6.2</v>
      </c>
      <c r="P79" s="28">
        <v>5.67</v>
      </c>
      <c r="Q79" s="54">
        <v>35.154000000000003</v>
      </c>
      <c r="R79" s="60">
        <v>32.38695109999999</v>
      </c>
      <c r="S79" s="62">
        <v>1.054605</v>
      </c>
      <c r="T79" s="60">
        <v>5.6031163649999991</v>
      </c>
      <c r="U79" s="62">
        <v>73.144067465000006</v>
      </c>
      <c r="V79" s="60">
        <v>114.2</v>
      </c>
      <c r="W79" s="67">
        <v>989</v>
      </c>
      <c r="X79" s="69">
        <v>24.725000000000001</v>
      </c>
      <c r="Y79" s="67">
        <v>212.06906746500002</v>
      </c>
      <c r="Z79" s="72">
        <f t="shared" si="12"/>
        <v>243.87942758475</v>
      </c>
      <c r="AA79" s="116">
        <v>123</v>
      </c>
      <c r="AB79" s="116">
        <v>121</v>
      </c>
      <c r="AC79" s="116">
        <v>26</v>
      </c>
      <c r="AD79" s="113">
        <f t="shared" si="13"/>
        <v>366.87942758475003</v>
      </c>
      <c r="AE79" s="113">
        <f t="shared" si="14"/>
        <v>364.87942758475003</v>
      </c>
      <c r="AF79" s="113">
        <f t="shared" si="15"/>
        <v>269.87942758475003</v>
      </c>
    </row>
    <row r="80" spans="1:32" s="29" customFormat="1" x14ac:dyDescent="0.2">
      <c r="A80" s="26"/>
      <c r="B80" s="38">
        <v>800</v>
      </c>
      <c r="C80" s="76">
        <v>0.8</v>
      </c>
      <c r="D80" s="27">
        <v>1.4</v>
      </c>
      <c r="E80" s="42">
        <v>3.1999999999999997</v>
      </c>
      <c r="F80" s="48">
        <v>4.4799999999999995</v>
      </c>
      <c r="G80" s="28">
        <v>3.14</v>
      </c>
      <c r="H80" s="49">
        <v>14.0672</v>
      </c>
      <c r="I80" s="43">
        <v>0.69663999999999981</v>
      </c>
      <c r="J80" s="28">
        <v>19.55</v>
      </c>
      <c r="K80" s="54">
        <v>13.619311999999997</v>
      </c>
      <c r="L80" s="52">
        <v>3.2809599999999994</v>
      </c>
      <c r="M80" s="28">
        <v>2.23</v>
      </c>
      <c r="N80" s="49">
        <v>7.3165407999999985</v>
      </c>
      <c r="O80" s="43">
        <v>6.3999999999999995</v>
      </c>
      <c r="P80" s="28">
        <v>5.67</v>
      </c>
      <c r="Q80" s="54">
        <v>36.287999999999997</v>
      </c>
      <c r="R80" s="60">
        <v>35.003052799999992</v>
      </c>
      <c r="S80" s="62">
        <v>1.1990400000000001</v>
      </c>
      <c r="T80" s="60">
        <v>6.3704995200000001</v>
      </c>
      <c r="U80" s="62">
        <v>77.661552319999984</v>
      </c>
      <c r="V80" s="60">
        <v>140.9</v>
      </c>
      <c r="W80" s="67">
        <v>989</v>
      </c>
      <c r="X80" s="69">
        <v>24.725000000000001</v>
      </c>
      <c r="Y80" s="67">
        <v>243.28655231999997</v>
      </c>
      <c r="Z80" s="72">
        <f t="shared" si="12"/>
        <v>279.77953516799994</v>
      </c>
      <c r="AA80" s="116">
        <v>145</v>
      </c>
      <c r="AB80" s="116">
        <v>143</v>
      </c>
      <c r="AC80" s="116">
        <v>30</v>
      </c>
      <c r="AD80" s="113">
        <f t="shared" si="13"/>
        <v>424.77953516799994</v>
      </c>
      <c r="AE80" s="113">
        <f t="shared" si="14"/>
        <v>422.77953516799994</v>
      </c>
      <c r="AF80" s="113">
        <f t="shared" si="15"/>
        <v>309.77953516799994</v>
      </c>
    </row>
    <row r="81" spans="1:32" s="29" customFormat="1" x14ac:dyDescent="0.2">
      <c r="A81" s="26"/>
      <c r="B81" s="38">
        <v>900</v>
      </c>
      <c r="C81" s="76">
        <v>0.9</v>
      </c>
      <c r="D81" s="27">
        <v>1.5</v>
      </c>
      <c r="E81" s="42">
        <v>3.3</v>
      </c>
      <c r="F81" s="48">
        <v>4.9499999999999993</v>
      </c>
      <c r="G81" s="28">
        <v>3.14</v>
      </c>
      <c r="H81" s="49">
        <v>15.542999999999999</v>
      </c>
      <c r="I81" s="43">
        <v>0.69622500000000009</v>
      </c>
      <c r="J81" s="28">
        <v>19.55</v>
      </c>
      <c r="K81" s="54">
        <v>13.611198750000002</v>
      </c>
      <c r="L81" s="52">
        <v>3.6179249999999992</v>
      </c>
      <c r="M81" s="28">
        <v>2.23</v>
      </c>
      <c r="N81" s="49">
        <v>8.0679727499999974</v>
      </c>
      <c r="O81" s="43">
        <v>6.6</v>
      </c>
      <c r="P81" s="28">
        <v>5.67</v>
      </c>
      <c r="Q81" s="54">
        <v>37.421999999999997</v>
      </c>
      <c r="R81" s="60">
        <v>37.222171499999995</v>
      </c>
      <c r="S81" s="62">
        <v>1.3320750000000001</v>
      </c>
      <c r="T81" s="60">
        <v>7.0773144750000005</v>
      </c>
      <c r="U81" s="62">
        <v>81.721485974999993</v>
      </c>
      <c r="V81" s="60">
        <v>149</v>
      </c>
      <c r="W81" s="67">
        <v>989</v>
      </c>
      <c r="X81" s="69">
        <v>24.725000000000001</v>
      </c>
      <c r="Y81" s="67">
        <v>255.446485975</v>
      </c>
      <c r="Z81" s="72">
        <f t="shared" si="12"/>
        <v>293.76345887124995</v>
      </c>
      <c r="AA81" s="116">
        <v>145</v>
      </c>
      <c r="AB81" s="116">
        <v>143</v>
      </c>
      <c r="AC81" s="116">
        <v>30</v>
      </c>
      <c r="AD81" s="113">
        <f t="shared" si="13"/>
        <v>438.76345887124995</v>
      </c>
      <c r="AE81" s="113">
        <f t="shared" si="14"/>
        <v>436.76345887124995</v>
      </c>
      <c r="AF81" s="113">
        <f t="shared" si="15"/>
        <v>323.76345887124995</v>
      </c>
    </row>
    <row r="82" spans="1:32" s="29" customFormat="1" x14ac:dyDescent="0.2">
      <c r="A82" s="26"/>
      <c r="B82" s="38">
        <v>1000</v>
      </c>
      <c r="C82" s="76">
        <v>1</v>
      </c>
      <c r="D82" s="27">
        <v>1.6</v>
      </c>
      <c r="E82" s="42">
        <v>3.4</v>
      </c>
      <c r="F82" s="48">
        <v>5.44</v>
      </c>
      <c r="G82" s="28">
        <v>3.14</v>
      </c>
      <c r="H82" s="49">
        <v>17.081600000000002</v>
      </c>
      <c r="I82" s="43">
        <v>0.66399999999999992</v>
      </c>
      <c r="J82" s="28">
        <v>19.55</v>
      </c>
      <c r="K82" s="54">
        <v>12.981199999999999</v>
      </c>
      <c r="L82" s="52">
        <v>3.9910000000000005</v>
      </c>
      <c r="M82" s="28">
        <v>2.23</v>
      </c>
      <c r="N82" s="49">
        <v>8.8999300000000012</v>
      </c>
      <c r="O82" s="43">
        <v>6.8</v>
      </c>
      <c r="P82" s="28">
        <v>5.67</v>
      </c>
      <c r="Q82" s="54">
        <v>38.555999999999997</v>
      </c>
      <c r="R82" s="60">
        <v>38.962730000000008</v>
      </c>
      <c r="S82" s="62">
        <v>1.4489999999999998</v>
      </c>
      <c r="T82" s="60">
        <v>7.6985369999999991</v>
      </c>
      <c r="U82" s="62">
        <v>85.217267000000007</v>
      </c>
      <c r="V82" s="60">
        <v>166.5</v>
      </c>
      <c r="W82" s="67">
        <v>989</v>
      </c>
      <c r="X82" s="69">
        <v>24.725000000000001</v>
      </c>
      <c r="Y82" s="67">
        <v>276.44226700000002</v>
      </c>
      <c r="Z82" s="72">
        <f t="shared" si="12"/>
        <v>317.90860705</v>
      </c>
      <c r="AA82" s="116">
        <v>171</v>
      </c>
      <c r="AB82" s="116">
        <v>169</v>
      </c>
      <c r="AC82" s="116">
        <v>34</v>
      </c>
      <c r="AD82" s="113">
        <f t="shared" si="13"/>
        <v>488.90860705</v>
      </c>
      <c r="AE82" s="113">
        <f t="shared" si="14"/>
        <v>486.90860705</v>
      </c>
      <c r="AF82" s="113">
        <f t="shared" si="15"/>
        <v>351.90860705</v>
      </c>
    </row>
    <row r="83" spans="1:32" s="37" customFormat="1" ht="13.5" thickBot="1" x14ac:dyDescent="0.25">
      <c r="A83" s="36"/>
      <c r="B83" s="39">
        <v>1250</v>
      </c>
      <c r="C83" s="77">
        <v>1.25</v>
      </c>
      <c r="D83" s="31">
        <v>1.85</v>
      </c>
      <c r="E83" s="75">
        <v>3.65</v>
      </c>
      <c r="F83" s="50">
        <v>6.7525000000000004</v>
      </c>
      <c r="G83" s="32">
        <v>3.14</v>
      </c>
      <c r="H83" s="51">
        <v>21.202850000000002</v>
      </c>
      <c r="I83" s="44">
        <v>0.41335937499999992</v>
      </c>
      <c r="J83" s="32">
        <v>19.55</v>
      </c>
      <c r="K83" s="55">
        <v>8.081175781249998</v>
      </c>
      <c r="L83" s="58">
        <v>5.1125781250000006</v>
      </c>
      <c r="M83" s="32">
        <v>2.23</v>
      </c>
      <c r="N83" s="51">
        <v>11.401049218750002</v>
      </c>
      <c r="O83" s="44">
        <v>7.3</v>
      </c>
      <c r="P83" s="32">
        <v>5.67</v>
      </c>
      <c r="Q83" s="55">
        <v>41.390999999999998</v>
      </c>
      <c r="R83" s="61">
        <v>40.685075000000005</v>
      </c>
      <c r="S83" s="63">
        <v>1.6399218749999998</v>
      </c>
      <c r="T83" s="61">
        <v>8.7129049218749994</v>
      </c>
      <c r="U83" s="63">
        <v>90.788979921874997</v>
      </c>
      <c r="V83" s="61">
        <v>203.43</v>
      </c>
      <c r="W83" s="68">
        <v>989</v>
      </c>
      <c r="X83" s="71">
        <v>24.725000000000001</v>
      </c>
      <c r="Y83" s="68">
        <v>318.94397992187504</v>
      </c>
      <c r="Z83" s="72">
        <f t="shared" si="12"/>
        <v>366.78557691015629</v>
      </c>
      <c r="AA83" s="117">
        <v>171</v>
      </c>
      <c r="AB83" s="117">
        <v>169</v>
      </c>
      <c r="AC83" s="117">
        <v>34</v>
      </c>
      <c r="AD83" s="114">
        <f t="shared" si="13"/>
        <v>537.78557691015635</v>
      </c>
      <c r="AE83" s="114">
        <f t="shared" si="14"/>
        <v>535.78557691015635</v>
      </c>
      <c r="AF83" s="114">
        <f t="shared" si="15"/>
        <v>400.78557691015629</v>
      </c>
    </row>
    <row r="85" spans="1:32" x14ac:dyDescent="0.2">
      <c r="A85" s="7"/>
      <c r="B85" s="8" t="s">
        <v>143</v>
      </c>
      <c r="C85" s="8"/>
      <c r="D85" s="7"/>
      <c r="E85" s="35"/>
      <c r="F85" s="35"/>
      <c r="G85" s="35"/>
      <c r="J85" s="35"/>
      <c r="K85" s="8"/>
    </row>
    <row r="86" spans="1:32" ht="13.5" thickBot="1" x14ac:dyDescent="0.25">
      <c r="A86" s="7"/>
      <c r="B86" s="8"/>
      <c r="C86" s="3"/>
      <c r="D86" s="2"/>
    </row>
    <row r="87" spans="1:32" s="9" customFormat="1" ht="53.25" customHeight="1" thickBot="1" x14ac:dyDescent="0.25">
      <c r="B87" s="1059" t="s">
        <v>24</v>
      </c>
      <c r="C87" s="1060"/>
      <c r="D87" s="1060"/>
      <c r="E87" s="1061"/>
      <c r="F87" s="1059" t="s">
        <v>1</v>
      </c>
      <c r="G87" s="1060"/>
      <c r="H87" s="1061"/>
      <c r="I87" s="1059" t="s">
        <v>2</v>
      </c>
      <c r="J87" s="1060"/>
      <c r="K87" s="1061"/>
      <c r="L87" s="1059" t="s">
        <v>3</v>
      </c>
      <c r="M87" s="1060"/>
      <c r="N87" s="1061"/>
      <c r="O87" s="1059" t="s">
        <v>4</v>
      </c>
      <c r="P87" s="1060"/>
      <c r="Q87" s="1060"/>
      <c r="R87" s="10" t="s">
        <v>19</v>
      </c>
      <c r="S87" s="10" t="s">
        <v>31</v>
      </c>
      <c r="T87" s="10" t="s">
        <v>32</v>
      </c>
      <c r="U87" s="10" t="s">
        <v>5</v>
      </c>
      <c r="V87" s="10" t="s">
        <v>18</v>
      </c>
      <c r="W87" s="10" t="s">
        <v>37</v>
      </c>
      <c r="X87" s="10" t="s">
        <v>20</v>
      </c>
      <c r="Y87" s="152" t="s">
        <v>23</v>
      </c>
      <c r="Z87" s="19" t="s">
        <v>39</v>
      </c>
      <c r="AA87" s="1059" t="s">
        <v>93</v>
      </c>
      <c r="AB87" s="1060"/>
      <c r="AC87" s="1061"/>
      <c r="AD87" s="1062" t="s">
        <v>97</v>
      </c>
      <c r="AE87" s="1063"/>
      <c r="AF87" s="1064"/>
    </row>
    <row r="88" spans="1:32" s="20" customFormat="1" ht="13.5" thickBot="1" x14ac:dyDescent="0.25">
      <c r="A88" s="12"/>
      <c r="B88" s="13"/>
      <c r="C88" s="14"/>
      <c r="D88" s="15"/>
      <c r="E88" s="84"/>
      <c r="F88" s="57"/>
      <c r="G88" s="16" t="s">
        <v>6</v>
      </c>
      <c r="H88" s="16" t="s">
        <v>6</v>
      </c>
      <c r="I88" s="56"/>
      <c r="J88" s="16" t="s">
        <v>6</v>
      </c>
      <c r="K88" s="16" t="s">
        <v>6</v>
      </c>
      <c r="L88" s="15"/>
      <c r="M88" s="16" t="s">
        <v>6</v>
      </c>
      <c r="N88" s="16" t="s">
        <v>6</v>
      </c>
      <c r="O88" s="15"/>
      <c r="P88" s="16" t="s">
        <v>6</v>
      </c>
      <c r="Q88" s="16" t="s">
        <v>6</v>
      </c>
      <c r="R88" s="17" t="s">
        <v>6</v>
      </c>
      <c r="S88" s="18"/>
      <c r="T88" s="66" t="s">
        <v>33</v>
      </c>
      <c r="U88" s="64" t="s">
        <v>6</v>
      </c>
      <c r="V88" s="19"/>
      <c r="W88" s="64"/>
      <c r="X88" s="19"/>
      <c r="Y88" s="64"/>
      <c r="Z88" s="19" t="s">
        <v>6</v>
      </c>
      <c r="AA88" s="80" t="s">
        <v>6</v>
      </c>
      <c r="AB88" s="80" t="s">
        <v>6</v>
      </c>
      <c r="AC88" s="80" t="s">
        <v>6</v>
      </c>
      <c r="AD88" s="108" t="s">
        <v>6</v>
      </c>
      <c r="AE88" s="109" t="s">
        <v>6</v>
      </c>
      <c r="AF88" s="110" t="s">
        <v>6</v>
      </c>
    </row>
    <row r="89" spans="1:32" s="9" customFormat="1" ht="51.75" thickBot="1" x14ac:dyDescent="0.25">
      <c r="A89" s="80"/>
      <c r="B89" s="81" t="s">
        <v>7</v>
      </c>
      <c r="C89" s="82" t="s">
        <v>8</v>
      </c>
      <c r="D89" s="79" t="s">
        <v>9</v>
      </c>
      <c r="E89" s="22" t="s">
        <v>30</v>
      </c>
      <c r="F89" s="81" t="s">
        <v>10</v>
      </c>
      <c r="G89" s="21" t="s">
        <v>11</v>
      </c>
      <c r="H89" s="21" t="s">
        <v>12</v>
      </c>
      <c r="I89" s="83" t="s">
        <v>13</v>
      </c>
      <c r="J89" s="21" t="s">
        <v>11</v>
      </c>
      <c r="K89" s="21" t="s">
        <v>12</v>
      </c>
      <c r="L89" s="79" t="s">
        <v>14</v>
      </c>
      <c r="M89" s="21" t="s">
        <v>11</v>
      </c>
      <c r="N89" s="21" t="s">
        <v>12</v>
      </c>
      <c r="O89" s="79" t="s">
        <v>15</v>
      </c>
      <c r="P89" s="21" t="s">
        <v>16</v>
      </c>
      <c r="Q89" s="21" t="s">
        <v>12</v>
      </c>
      <c r="R89" s="21" t="s">
        <v>12</v>
      </c>
      <c r="S89" s="22" t="s">
        <v>34</v>
      </c>
      <c r="T89" s="23" t="s">
        <v>35</v>
      </c>
      <c r="U89" s="65" t="s">
        <v>12</v>
      </c>
      <c r="V89" s="23" t="s">
        <v>21</v>
      </c>
      <c r="W89" s="65" t="s">
        <v>22</v>
      </c>
      <c r="X89" s="23" t="s">
        <v>21</v>
      </c>
      <c r="Y89" s="65" t="s">
        <v>12</v>
      </c>
      <c r="Z89" s="23" t="s">
        <v>12</v>
      </c>
      <c r="AA89" s="107" t="s">
        <v>94</v>
      </c>
      <c r="AB89" s="107" t="s">
        <v>95</v>
      </c>
      <c r="AC89" s="107" t="s">
        <v>96</v>
      </c>
      <c r="AD89" s="111" t="s">
        <v>94</v>
      </c>
      <c r="AE89" s="111" t="s">
        <v>95</v>
      </c>
      <c r="AF89" s="111" t="s">
        <v>96</v>
      </c>
    </row>
    <row r="90" spans="1:32" s="29" customFormat="1" x14ac:dyDescent="0.2">
      <c r="A90" s="26"/>
      <c r="B90" s="38">
        <v>150</v>
      </c>
      <c r="C90" s="76">
        <v>0.16</v>
      </c>
      <c r="D90" s="27">
        <v>0.76</v>
      </c>
      <c r="E90" s="42">
        <v>3.06</v>
      </c>
      <c r="F90" s="48">
        <v>2.3256000000000001</v>
      </c>
      <c r="G90" s="28">
        <v>3.14</v>
      </c>
      <c r="H90" s="49">
        <v>7.3023840000000009</v>
      </c>
      <c r="I90" s="43">
        <v>0.25832704000000001</v>
      </c>
      <c r="J90" s="28">
        <v>19.55</v>
      </c>
      <c r="K90" s="54">
        <v>5.0502936320000007</v>
      </c>
      <c r="L90" s="45">
        <v>2.0471769599999998</v>
      </c>
      <c r="M90" s="46">
        <v>2.23</v>
      </c>
      <c r="N90" s="47">
        <v>4.5652046207999994</v>
      </c>
      <c r="O90" s="43">
        <v>6.12</v>
      </c>
      <c r="P90" s="28">
        <v>5.67</v>
      </c>
      <c r="Q90" s="54">
        <v>34.700400000000002</v>
      </c>
      <c r="R90" s="59">
        <v>16.917882252800002</v>
      </c>
      <c r="S90" s="62">
        <v>0.27842304000000029</v>
      </c>
      <c r="T90" s="60">
        <v>1.4792616115200017</v>
      </c>
      <c r="U90" s="62">
        <v>53.097543864320002</v>
      </c>
      <c r="V90" s="60">
        <v>9.8699999999999992</v>
      </c>
      <c r="W90" s="67">
        <v>757</v>
      </c>
      <c r="X90" s="69">
        <v>18.925000000000001</v>
      </c>
      <c r="Y90" s="67">
        <v>81.892543864320004</v>
      </c>
      <c r="Z90" s="72">
        <f>Y90*1.15</f>
        <v>94.176425443968</v>
      </c>
      <c r="AA90" s="115">
        <v>73</v>
      </c>
      <c r="AB90" s="115">
        <v>72</v>
      </c>
      <c r="AC90" s="115">
        <v>15</v>
      </c>
      <c r="AD90" s="112">
        <f t="shared" ref="AD90:AD102" si="16">(Z90+AA90)*$AG$7</f>
        <v>167.17642544396801</v>
      </c>
      <c r="AE90" s="112">
        <f t="shared" ref="AE90:AE102" si="17">(Z90+AB90)*$AG$7</f>
        <v>166.17642544396801</v>
      </c>
      <c r="AF90" s="112">
        <f t="shared" ref="AF90:AF102" si="18">(Z90+AC90)*$AG$7</f>
        <v>109.176425443968</v>
      </c>
    </row>
    <row r="91" spans="1:32" s="29" customFormat="1" x14ac:dyDescent="0.2">
      <c r="A91" s="26"/>
      <c r="B91" s="38">
        <v>200</v>
      </c>
      <c r="C91" s="76">
        <v>0.2</v>
      </c>
      <c r="D91" s="27">
        <v>0.8</v>
      </c>
      <c r="E91" s="42">
        <v>3.1</v>
      </c>
      <c r="F91" s="48">
        <v>2.4800000000000004</v>
      </c>
      <c r="G91" s="28">
        <v>3.14</v>
      </c>
      <c r="H91" s="49">
        <v>7.7872000000000012</v>
      </c>
      <c r="I91" s="43">
        <v>0.29488000000000003</v>
      </c>
      <c r="J91" s="28">
        <v>19.55</v>
      </c>
      <c r="K91" s="54">
        <v>5.7649040000000005</v>
      </c>
      <c r="L91" s="52">
        <v>2.1537200000000003</v>
      </c>
      <c r="M91" s="28">
        <v>2.23</v>
      </c>
      <c r="N91" s="49">
        <v>4.8027956000000005</v>
      </c>
      <c r="O91" s="43">
        <v>6.2</v>
      </c>
      <c r="P91" s="28">
        <v>5.67</v>
      </c>
      <c r="Q91" s="54">
        <v>35.154000000000003</v>
      </c>
      <c r="R91" s="60">
        <v>18.354899600000003</v>
      </c>
      <c r="S91" s="62">
        <v>0.32628000000000013</v>
      </c>
      <c r="T91" s="60">
        <v>1.7335256400000005</v>
      </c>
      <c r="U91" s="62">
        <v>55.24242524000001</v>
      </c>
      <c r="V91" s="60">
        <v>11.9</v>
      </c>
      <c r="W91" s="67">
        <v>757</v>
      </c>
      <c r="X91" s="69">
        <v>18.925000000000001</v>
      </c>
      <c r="Y91" s="67">
        <v>86.067425240000006</v>
      </c>
      <c r="Z91" s="72">
        <f t="shared" ref="Z91:Z102" si="19">Y91*1.15</f>
        <v>98.977539026000002</v>
      </c>
      <c r="AA91" s="116">
        <v>82</v>
      </c>
      <c r="AB91" s="116">
        <v>81</v>
      </c>
      <c r="AC91" s="116">
        <v>17</v>
      </c>
      <c r="AD91" s="113">
        <f t="shared" si="16"/>
        <v>180.97753902599999</v>
      </c>
      <c r="AE91" s="113">
        <f t="shared" si="17"/>
        <v>179.97753902599999</v>
      </c>
      <c r="AF91" s="113">
        <f t="shared" si="18"/>
        <v>115.977539026</v>
      </c>
    </row>
    <row r="92" spans="1:32" s="29" customFormat="1" x14ac:dyDescent="0.2">
      <c r="A92" s="26"/>
      <c r="B92" s="38">
        <v>250</v>
      </c>
      <c r="C92" s="76">
        <v>0.25</v>
      </c>
      <c r="D92" s="27">
        <v>0.85</v>
      </c>
      <c r="E92" s="42">
        <v>3.15</v>
      </c>
      <c r="F92" s="48">
        <v>2.6774999999999998</v>
      </c>
      <c r="G92" s="28">
        <v>3.14</v>
      </c>
      <c r="H92" s="49">
        <v>8.4073499999999992</v>
      </c>
      <c r="I92" s="43">
        <v>0.340796875</v>
      </c>
      <c r="J92" s="28">
        <v>19.55</v>
      </c>
      <c r="K92" s="54">
        <v>6.6625789062500003</v>
      </c>
      <c r="L92" s="52">
        <v>2.2876406249999999</v>
      </c>
      <c r="M92" s="28">
        <v>2.23</v>
      </c>
      <c r="N92" s="49">
        <v>5.1014385937499993</v>
      </c>
      <c r="O92" s="43">
        <v>6.3</v>
      </c>
      <c r="P92" s="28">
        <v>5.67</v>
      </c>
      <c r="Q92" s="54">
        <v>35.720999999999997</v>
      </c>
      <c r="R92" s="60">
        <v>20.171367499999999</v>
      </c>
      <c r="S92" s="62">
        <v>0.3898593749999999</v>
      </c>
      <c r="T92" s="60">
        <v>2.0713228593749995</v>
      </c>
      <c r="U92" s="62">
        <v>57.963690359374993</v>
      </c>
      <c r="V92" s="60">
        <v>17</v>
      </c>
      <c r="W92" s="67">
        <v>757</v>
      </c>
      <c r="X92" s="69">
        <v>18.925000000000001</v>
      </c>
      <c r="Y92" s="67">
        <v>93.888690359374991</v>
      </c>
      <c r="Z92" s="512">
        <f t="shared" si="19"/>
        <v>107.97199391328122</v>
      </c>
      <c r="AA92" s="116">
        <v>82</v>
      </c>
      <c r="AB92" s="116">
        <v>81</v>
      </c>
      <c r="AC92" s="116">
        <v>17</v>
      </c>
      <c r="AD92" s="513">
        <f t="shared" si="16"/>
        <v>189.97199391328121</v>
      </c>
      <c r="AE92" s="113">
        <f t="shared" si="17"/>
        <v>188.97199391328121</v>
      </c>
      <c r="AF92" s="113">
        <f t="shared" si="18"/>
        <v>124.97199391328122</v>
      </c>
    </row>
    <row r="93" spans="1:32" s="29" customFormat="1" x14ac:dyDescent="0.2">
      <c r="A93" s="26"/>
      <c r="B93" s="38">
        <v>300</v>
      </c>
      <c r="C93" s="76">
        <v>0.315</v>
      </c>
      <c r="D93" s="27">
        <v>0.91500000000000004</v>
      </c>
      <c r="E93" s="42">
        <v>3.2149999999999999</v>
      </c>
      <c r="F93" s="48">
        <v>2.9417249999999999</v>
      </c>
      <c r="G93" s="28">
        <v>3.14</v>
      </c>
      <c r="H93" s="49">
        <v>9.2370164999999993</v>
      </c>
      <c r="I93" s="43">
        <v>0.39995416312499998</v>
      </c>
      <c r="J93" s="28">
        <v>19.55</v>
      </c>
      <c r="K93" s="54">
        <v>7.8191038890937499</v>
      </c>
      <c r="L93" s="52">
        <v>2.4638792118750001</v>
      </c>
      <c r="M93" s="28">
        <v>2.23</v>
      </c>
      <c r="N93" s="49">
        <v>5.49445064248125</v>
      </c>
      <c r="O93" s="43">
        <v>6.43</v>
      </c>
      <c r="P93" s="28">
        <v>5.67</v>
      </c>
      <c r="Q93" s="54">
        <v>36.458099999999995</v>
      </c>
      <c r="R93" s="60">
        <v>22.550571031575</v>
      </c>
      <c r="S93" s="62">
        <v>0.47784578812499978</v>
      </c>
      <c r="T93" s="60">
        <v>2.5387946723081236</v>
      </c>
      <c r="U93" s="62">
        <v>61.547465703883113</v>
      </c>
      <c r="V93" s="60">
        <v>24.68</v>
      </c>
      <c r="W93" s="67">
        <v>757</v>
      </c>
      <c r="X93" s="69">
        <v>18.925000000000001</v>
      </c>
      <c r="Y93" s="67">
        <v>105.15246570388311</v>
      </c>
      <c r="Z93" s="72">
        <f t="shared" si="19"/>
        <v>120.92533555946557</v>
      </c>
      <c r="AA93" s="116">
        <v>91</v>
      </c>
      <c r="AB93" s="116">
        <v>90</v>
      </c>
      <c r="AC93" s="116">
        <v>19</v>
      </c>
      <c r="AD93" s="113">
        <f t="shared" si="16"/>
        <v>211.92533555946557</v>
      </c>
      <c r="AE93" s="113">
        <f t="shared" si="17"/>
        <v>210.92533555946557</v>
      </c>
      <c r="AF93" s="113">
        <f t="shared" si="18"/>
        <v>139.92533555946557</v>
      </c>
    </row>
    <row r="94" spans="1:32" s="29" customFormat="1" x14ac:dyDescent="0.2">
      <c r="A94" s="26"/>
      <c r="B94" s="38">
        <v>355</v>
      </c>
      <c r="C94" s="76">
        <v>0.35499999999999998</v>
      </c>
      <c r="D94" s="27">
        <v>0.95499999999999996</v>
      </c>
      <c r="E94" s="42">
        <v>3.2549999999999999</v>
      </c>
      <c r="F94" s="48">
        <v>3.1085249999999998</v>
      </c>
      <c r="G94" s="28">
        <v>3.14</v>
      </c>
      <c r="H94" s="49">
        <v>9.7607684999999993</v>
      </c>
      <c r="I94" s="43">
        <v>0.43554720812499992</v>
      </c>
      <c r="J94" s="28">
        <v>19.55</v>
      </c>
      <c r="K94" s="54">
        <v>8.5149479188437489</v>
      </c>
      <c r="L94" s="52">
        <v>2.5740481668749999</v>
      </c>
      <c r="M94" s="28">
        <v>2.23</v>
      </c>
      <c r="N94" s="49">
        <v>5.7401274121312502</v>
      </c>
      <c r="O94" s="43">
        <v>6.51</v>
      </c>
      <c r="P94" s="28">
        <v>5.67</v>
      </c>
      <c r="Q94" s="54">
        <v>36.911699999999996</v>
      </c>
      <c r="R94" s="60">
        <v>24.015843830975001</v>
      </c>
      <c r="S94" s="62">
        <v>0.53447683312499983</v>
      </c>
      <c r="T94" s="60">
        <v>2.8396754143931235</v>
      </c>
      <c r="U94" s="62">
        <v>63.767219245368118</v>
      </c>
      <c r="V94" s="60">
        <v>31.35</v>
      </c>
      <c r="W94" s="67">
        <v>757</v>
      </c>
      <c r="X94" s="69">
        <v>18.925000000000001</v>
      </c>
      <c r="Y94" s="67">
        <v>114.04221924536812</v>
      </c>
      <c r="Z94" s="72">
        <f t="shared" si="19"/>
        <v>131.14855213217334</v>
      </c>
      <c r="AA94" s="116">
        <v>91</v>
      </c>
      <c r="AB94" s="116">
        <v>90</v>
      </c>
      <c r="AC94" s="116">
        <v>19</v>
      </c>
      <c r="AD94" s="113">
        <f t="shared" si="16"/>
        <v>222.14855213217334</v>
      </c>
      <c r="AE94" s="113">
        <f t="shared" si="17"/>
        <v>221.14855213217334</v>
      </c>
      <c r="AF94" s="113">
        <f t="shared" si="18"/>
        <v>150.14855213217334</v>
      </c>
    </row>
    <row r="95" spans="1:32" s="29" customFormat="1" x14ac:dyDescent="0.2">
      <c r="A95" s="26"/>
      <c r="B95" s="38">
        <v>400</v>
      </c>
      <c r="C95" s="76">
        <v>0.4</v>
      </c>
      <c r="D95" s="27">
        <v>1</v>
      </c>
      <c r="E95" s="42">
        <v>3.3</v>
      </c>
      <c r="F95" s="48">
        <v>3.3</v>
      </c>
      <c r="G95" s="28">
        <v>3.14</v>
      </c>
      <c r="H95" s="49">
        <v>10.362</v>
      </c>
      <c r="I95" s="43">
        <v>0.47440000000000004</v>
      </c>
      <c r="J95" s="28">
        <v>19.55</v>
      </c>
      <c r="K95" s="54">
        <v>9.2745200000000008</v>
      </c>
      <c r="L95" s="52">
        <v>2.6999999999999997</v>
      </c>
      <c r="M95" s="28">
        <v>2.23</v>
      </c>
      <c r="N95" s="49">
        <v>6.020999999999999</v>
      </c>
      <c r="O95" s="43">
        <v>6.6</v>
      </c>
      <c r="P95" s="28">
        <v>5.67</v>
      </c>
      <c r="Q95" s="54">
        <v>37.421999999999997</v>
      </c>
      <c r="R95" s="60">
        <v>25.657519999999998</v>
      </c>
      <c r="S95" s="62">
        <v>0.60000000000000009</v>
      </c>
      <c r="T95" s="60">
        <v>3.1878000000000002</v>
      </c>
      <c r="U95" s="62">
        <v>66.267319999999998</v>
      </c>
      <c r="V95" s="60">
        <v>38.44</v>
      </c>
      <c r="W95" s="67">
        <v>757</v>
      </c>
      <c r="X95" s="69">
        <v>18.925000000000001</v>
      </c>
      <c r="Y95" s="67">
        <v>123.63231999999999</v>
      </c>
      <c r="Z95" s="72">
        <f t="shared" si="19"/>
        <v>142.17716799999999</v>
      </c>
      <c r="AA95" s="116">
        <v>105</v>
      </c>
      <c r="AB95" s="116">
        <v>103</v>
      </c>
      <c r="AC95" s="116">
        <v>22</v>
      </c>
      <c r="AD95" s="113">
        <f t="shared" si="16"/>
        <v>247.17716799999999</v>
      </c>
      <c r="AE95" s="113">
        <f t="shared" si="17"/>
        <v>245.17716799999999</v>
      </c>
      <c r="AF95" s="113">
        <f t="shared" si="18"/>
        <v>164.17716799999999</v>
      </c>
    </row>
    <row r="96" spans="1:32" s="29" customFormat="1" x14ac:dyDescent="0.2">
      <c r="A96" s="26"/>
      <c r="B96" s="38">
        <v>500</v>
      </c>
      <c r="C96" s="76">
        <v>0.5</v>
      </c>
      <c r="D96" s="27">
        <v>1.1000000000000001</v>
      </c>
      <c r="E96" s="42">
        <v>3.4</v>
      </c>
      <c r="F96" s="48">
        <v>3.74</v>
      </c>
      <c r="G96" s="28">
        <v>3.14</v>
      </c>
      <c r="H96" s="49">
        <v>11.743600000000001</v>
      </c>
      <c r="I96" s="43">
        <v>0.55412499999999998</v>
      </c>
      <c r="J96" s="28">
        <v>19.55</v>
      </c>
      <c r="K96" s="54">
        <v>10.83314375</v>
      </c>
      <c r="L96" s="52">
        <v>2.9896250000000002</v>
      </c>
      <c r="M96" s="28">
        <v>2.23</v>
      </c>
      <c r="N96" s="49">
        <v>6.6668637500000001</v>
      </c>
      <c r="O96" s="43">
        <v>6.8</v>
      </c>
      <c r="P96" s="28">
        <v>5.67</v>
      </c>
      <c r="Q96" s="54">
        <v>38.555999999999997</v>
      </c>
      <c r="R96" s="60">
        <v>29.2436075</v>
      </c>
      <c r="S96" s="62">
        <v>0.75037500000000001</v>
      </c>
      <c r="T96" s="60">
        <v>3.9867423749999999</v>
      </c>
      <c r="U96" s="62">
        <v>71.786349874999999</v>
      </c>
      <c r="V96" s="60">
        <v>70.239999999999995</v>
      </c>
      <c r="W96" s="67">
        <v>757</v>
      </c>
      <c r="X96" s="69">
        <v>18.925000000000001</v>
      </c>
      <c r="Y96" s="67">
        <v>160.95134987500001</v>
      </c>
      <c r="Z96" s="72">
        <f t="shared" si="19"/>
        <v>185.09405235624999</v>
      </c>
      <c r="AA96" s="116">
        <v>105</v>
      </c>
      <c r="AB96" s="116">
        <v>103</v>
      </c>
      <c r="AC96" s="116">
        <v>22</v>
      </c>
      <c r="AD96" s="113">
        <f t="shared" si="16"/>
        <v>290.09405235625002</v>
      </c>
      <c r="AE96" s="113">
        <f t="shared" si="17"/>
        <v>288.09405235625002</v>
      </c>
      <c r="AF96" s="113">
        <f t="shared" si="18"/>
        <v>207.09405235624999</v>
      </c>
    </row>
    <row r="97" spans="1:32" s="33" customFormat="1" ht="13.5" thickBot="1" x14ac:dyDescent="0.25">
      <c r="A97" s="30"/>
      <c r="B97" s="39">
        <v>600</v>
      </c>
      <c r="C97" s="77">
        <v>0.6</v>
      </c>
      <c r="D97" s="31">
        <v>1.2</v>
      </c>
      <c r="E97" s="86">
        <v>3.5</v>
      </c>
      <c r="F97" s="50">
        <v>4.2</v>
      </c>
      <c r="G97" s="32">
        <v>3.14</v>
      </c>
      <c r="H97" s="51">
        <v>13.188000000000001</v>
      </c>
      <c r="I97" s="44">
        <v>0.6208800000000001</v>
      </c>
      <c r="J97" s="32">
        <v>19.55</v>
      </c>
      <c r="K97" s="55">
        <v>12.138204000000002</v>
      </c>
      <c r="L97" s="58">
        <v>3.2965200000000001</v>
      </c>
      <c r="M97" s="32">
        <v>2.23</v>
      </c>
      <c r="N97" s="51">
        <v>7.3512396000000004</v>
      </c>
      <c r="O97" s="44">
        <v>7</v>
      </c>
      <c r="P97" s="32">
        <v>5.67</v>
      </c>
      <c r="Q97" s="55">
        <v>39.69</v>
      </c>
      <c r="R97" s="61">
        <v>32.677443600000004</v>
      </c>
      <c r="S97" s="63">
        <v>0.90348000000000006</v>
      </c>
      <c r="T97" s="61">
        <v>4.8001892399999999</v>
      </c>
      <c r="U97" s="63">
        <v>77.167632839999996</v>
      </c>
      <c r="V97" s="61">
        <v>87.89</v>
      </c>
      <c r="W97" s="68">
        <v>757</v>
      </c>
      <c r="X97" s="70">
        <v>18.925000000000001</v>
      </c>
      <c r="Y97" s="68">
        <v>183.98263284000001</v>
      </c>
      <c r="Z97" s="72">
        <f t="shared" si="19"/>
        <v>211.580027766</v>
      </c>
      <c r="AA97" s="116">
        <v>123</v>
      </c>
      <c r="AB97" s="116">
        <v>121</v>
      </c>
      <c r="AC97" s="116">
        <v>26</v>
      </c>
      <c r="AD97" s="113">
        <f t="shared" si="16"/>
        <v>334.580027766</v>
      </c>
      <c r="AE97" s="113">
        <f t="shared" si="17"/>
        <v>332.580027766</v>
      </c>
      <c r="AF97" s="113">
        <f t="shared" si="18"/>
        <v>237.580027766</v>
      </c>
    </row>
    <row r="98" spans="1:32" s="29" customFormat="1" x14ac:dyDescent="0.2">
      <c r="A98" s="26"/>
      <c r="B98" s="40">
        <v>700</v>
      </c>
      <c r="C98" s="78">
        <v>0.7</v>
      </c>
      <c r="D98" s="34">
        <v>1.2999999999999998</v>
      </c>
      <c r="E98" s="42">
        <v>3.6</v>
      </c>
      <c r="F98" s="52">
        <v>4.68</v>
      </c>
      <c r="G98" s="28">
        <v>3.14</v>
      </c>
      <c r="H98" s="49">
        <v>14.6952</v>
      </c>
      <c r="I98" s="43">
        <v>0.66995499999999986</v>
      </c>
      <c r="J98" s="28">
        <v>19.55</v>
      </c>
      <c r="K98" s="54">
        <v>13.097620249999999</v>
      </c>
      <c r="L98" s="52">
        <v>3.6253949999999997</v>
      </c>
      <c r="M98" s="28">
        <v>2.23</v>
      </c>
      <c r="N98" s="49">
        <v>8.0846308499999999</v>
      </c>
      <c r="O98" s="43">
        <v>7.2</v>
      </c>
      <c r="P98" s="28">
        <v>5.67</v>
      </c>
      <c r="Q98" s="54">
        <v>40.823999999999998</v>
      </c>
      <c r="R98" s="60">
        <v>35.877451100000002</v>
      </c>
      <c r="S98" s="62">
        <v>1.054605</v>
      </c>
      <c r="T98" s="60">
        <v>5.6031163649999991</v>
      </c>
      <c r="U98" s="62">
        <v>82.304567465000005</v>
      </c>
      <c r="V98" s="60">
        <v>114.2</v>
      </c>
      <c r="W98" s="67">
        <v>989</v>
      </c>
      <c r="X98" s="69">
        <v>24.725000000000001</v>
      </c>
      <c r="Y98" s="67">
        <v>221.229567465</v>
      </c>
      <c r="Z98" s="72">
        <f t="shared" si="19"/>
        <v>254.41400258474999</v>
      </c>
      <c r="AA98" s="116">
        <v>123</v>
      </c>
      <c r="AB98" s="116">
        <v>121</v>
      </c>
      <c r="AC98" s="116">
        <v>26</v>
      </c>
      <c r="AD98" s="113">
        <f t="shared" si="16"/>
        <v>377.41400258474999</v>
      </c>
      <c r="AE98" s="113">
        <f t="shared" si="17"/>
        <v>375.41400258474999</v>
      </c>
      <c r="AF98" s="113">
        <f t="shared" si="18"/>
        <v>280.41400258474999</v>
      </c>
    </row>
    <row r="99" spans="1:32" s="29" customFormat="1" x14ac:dyDescent="0.2">
      <c r="A99" s="26"/>
      <c r="B99" s="38">
        <v>800</v>
      </c>
      <c r="C99" s="76">
        <v>0.8</v>
      </c>
      <c r="D99" s="27">
        <v>1.4</v>
      </c>
      <c r="E99" s="42">
        <v>3.6999999999999997</v>
      </c>
      <c r="F99" s="48">
        <v>5.18</v>
      </c>
      <c r="G99" s="28">
        <v>3.14</v>
      </c>
      <c r="H99" s="49">
        <v>16.2652</v>
      </c>
      <c r="I99" s="43">
        <v>0.69663999999999981</v>
      </c>
      <c r="J99" s="28">
        <v>19.55</v>
      </c>
      <c r="K99" s="54">
        <v>13.619311999999997</v>
      </c>
      <c r="L99" s="52">
        <v>3.9809600000000001</v>
      </c>
      <c r="M99" s="28">
        <v>2.23</v>
      </c>
      <c r="N99" s="49">
        <v>8.8775408000000002</v>
      </c>
      <c r="O99" s="43">
        <v>7.3999999999999995</v>
      </c>
      <c r="P99" s="28">
        <v>5.67</v>
      </c>
      <c r="Q99" s="54">
        <v>41.957999999999998</v>
      </c>
      <c r="R99" s="60">
        <v>38.762052799999999</v>
      </c>
      <c r="S99" s="62">
        <v>1.1990399999999997</v>
      </c>
      <c r="T99" s="60">
        <v>6.3704995199999974</v>
      </c>
      <c r="U99" s="62">
        <v>87.090552319999986</v>
      </c>
      <c r="V99" s="60">
        <v>140.9</v>
      </c>
      <c r="W99" s="67">
        <v>989</v>
      </c>
      <c r="X99" s="69">
        <v>24.725000000000001</v>
      </c>
      <c r="Y99" s="67">
        <v>252.71555232</v>
      </c>
      <c r="Z99" s="72">
        <f t="shared" si="19"/>
        <v>290.62288516799998</v>
      </c>
      <c r="AA99" s="116">
        <v>145</v>
      </c>
      <c r="AB99" s="116">
        <v>143</v>
      </c>
      <c r="AC99" s="116">
        <v>30</v>
      </c>
      <c r="AD99" s="113">
        <f t="shared" si="16"/>
        <v>435.62288516799998</v>
      </c>
      <c r="AE99" s="113">
        <f t="shared" si="17"/>
        <v>433.62288516799998</v>
      </c>
      <c r="AF99" s="113">
        <f t="shared" si="18"/>
        <v>320.62288516799998</v>
      </c>
    </row>
    <row r="100" spans="1:32" s="29" customFormat="1" x14ac:dyDescent="0.2">
      <c r="A100" s="26"/>
      <c r="B100" s="38">
        <v>900</v>
      </c>
      <c r="C100" s="76">
        <v>0.9</v>
      </c>
      <c r="D100" s="27">
        <v>1.5</v>
      </c>
      <c r="E100" s="42">
        <v>3.8</v>
      </c>
      <c r="F100" s="48">
        <v>5.6999999999999993</v>
      </c>
      <c r="G100" s="28">
        <v>3.14</v>
      </c>
      <c r="H100" s="49">
        <v>17.898</v>
      </c>
      <c r="I100" s="43">
        <v>0.69622500000000009</v>
      </c>
      <c r="J100" s="28">
        <v>19.55</v>
      </c>
      <c r="K100" s="54">
        <v>13.611198750000002</v>
      </c>
      <c r="L100" s="52">
        <v>4.3679249999999996</v>
      </c>
      <c r="M100" s="28">
        <v>2.23</v>
      </c>
      <c r="N100" s="49">
        <v>9.7404727499999986</v>
      </c>
      <c r="O100" s="43">
        <v>7.6</v>
      </c>
      <c r="P100" s="28">
        <v>5.67</v>
      </c>
      <c r="Q100" s="54">
        <v>43.091999999999999</v>
      </c>
      <c r="R100" s="60">
        <v>41.249671500000005</v>
      </c>
      <c r="S100" s="62">
        <v>1.3320749999999997</v>
      </c>
      <c r="T100" s="60">
        <v>7.0773144749999979</v>
      </c>
      <c r="U100" s="62">
        <v>91.418985974999998</v>
      </c>
      <c r="V100" s="60">
        <v>149</v>
      </c>
      <c r="W100" s="67">
        <v>989</v>
      </c>
      <c r="X100" s="69">
        <v>24.725000000000001</v>
      </c>
      <c r="Y100" s="67">
        <v>265.14398597500002</v>
      </c>
      <c r="Z100" s="72">
        <f t="shared" si="19"/>
        <v>304.91558387125002</v>
      </c>
      <c r="AA100" s="116">
        <v>145</v>
      </c>
      <c r="AB100" s="116">
        <v>143</v>
      </c>
      <c r="AC100" s="116">
        <v>30</v>
      </c>
      <c r="AD100" s="113">
        <f t="shared" si="16"/>
        <v>449.91558387125002</v>
      </c>
      <c r="AE100" s="113">
        <f t="shared" si="17"/>
        <v>447.91558387125002</v>
      </c>
      <c r="AF100" s="113">
        <f t="shared" si="18"/>
        <v>334.91558387125002</v>
      </c>
    </row>
    <row r="101" spans="1:32" s="29" customFormat="1" x14ac:dyDescent="0.2">
      <c r="A101" s="26"/>
      <c r="B101" s="38">
        <v>1000</v>
      </c>
      <c r="C101" s="76">
        <v>1</v>
      </c>
      <c r="D101" s="27">
        <v>1.6</v>
      </c>
      <c r="E101" s="42">
        <v>3.8999999999999995</v>
      </c>
      <c r="F101" s="48">
        <v>6.2399999999999993</v>
      </c>
      <c r="G101" s="28">
        <v>3.14</v>
      </c>
      <c r="H101" s="49">
        <v>19.593599999999999</v>
      </c>
      <c r="I101" s="43">
        <v>0.66399999999999992</v>
      </c>
      <c r="J101" s="28">
        <v>19.55</v>
      </c>
      <c r="K101" s="54">
        <v>12.981199999999999</v>
      </c>
      <c r="L101" s="52">
        <v>4.7909999999999995</v>
      </c>
      <c r="M101" s="28">
        <v>2.23</v>
      </c>
      <c r="N101" s="49">
        <v>10.683929999999998</v>
      </c>
      <c r="O101" s="43">
        <v>7.7999999999999989</v>
      </c>
      <c r="P101" s="28">
        <v>5.67</v>
      </c>
      <c r="Q101" s="54">
        <v>44.225999999999992</v>
      </c>
      <c r="R101" s="60">
        <v>43.258729999999993</v>
      </c>
      <c r="S101" s="62">
        <v>1.4489999999999998</v>
      </c>
      <c r="T101" s="60">
        <v>7.6985369999999991</v>
      </c>
      <c r="U101" s="62">
        <v>95.183266999999987</v>
      </c>
      <c r="V101" s="60">
        <v>166.5</v>
      </c>
      <c r="W101" s="67">
        <v>989</v>
      </c>
      <c r="X101" s="69">
        <v>24.725000000000001</v>
      </c>
      <c r="Y101" s="67">
        <v>286.40826700000002</v>
      </c>
      <c r="Z101" s="72">
        <f t="shared" si="19"/>
        <v>329.36950704999998</v>
      </c>
      <c r="AA101" s="116">
        <v>171</v>
      </c>
      <c r="AB101" s="116">
        <v>169</v>
      </c>
      <c r="AC101" s="116">
        <v>34</v>
      </c>
      <c r="AD101" s="113">
        <f t="shared" si="16"/>
        <v>500.36950704999998</v>
      </c>
      <c r="AE101" s="113">
        <f t="shared" si="17"/>
        <v>498.36950704999998</v>
      </c>
      <c r="AF101" s="113">
        <f t="shared" si="18"/>
        <v>363.36950704999998</v>
      </c>
    </row>
    <row r="102" spans="1:32" s="29" customFormat="1" ht="13.5" thickBot="1" x14ac:dyDescent="0.25">
      <c r="A102" s="26"/>
      <c r="B102" s="39">
        <v>1250</v>
      </c>
      <c r="C102" s="77">
        <v>1.25</v>
      </c>
      <c r="D102" s="31">
        <v>1.85</v>
      </c>
      <c r="E102" s="75">
        <v>4.1499999999999995</v>
      </c>
      <c r="F102" s="50">
        <v>7.6774999999999993</v>
      </c>
      <c r="G102" s="32">
        <v>3.14</v>
      </c>
      <c r="H102" s="51">
        <v>24.10735</v>
      </c>
      <c r="I102" s="44">
        <v>0.41335937499999992</v>
      </c>
      <c r="J102" s="32">
        <v>19.55</v>
      </c>
      <c r="K102" s="55">
        <v>8.081175781249998</v>
      </c>
      <c r="L102" s="58">
        <v>6.0375781249999996</v>
      </c>
      <c r="M102" s="32">
        <v>2.23</v>
      </c>
      <c r="N102" s="51">
        <v>13.463799218749999</v>
      </c>
      <c r="O102" s="44">
        <v>8.2999999999999989</v>
      </c>
      <c r="P102" s="32">
        <v>5.67</v>
      </c>
      <c r="Q102" s="55">
        <v>47.060999999999993</v>
      </c>
      <c r="R102" s="61">
        <v>45.652324999999998</v>
      </c>
      <c r="S102" s="63">
        <v>1.6399218749999998</v>
      </c>
      <c r="T102" s="61">
        <v>8.7129049218749994</v>
      </c>
      <c r="U102" s="63">
        <v>101.42622992187499</v>
      </c>
      <c r="V102" s="61">
        <v>203.43</v>
      </c>
      <c r="W102" s="68">
        <v>989</v>
      </c>
      <c r="X102" s="71">
        <v>24.725000000000001</v>
      </c>
      <c r="Y102" s="68">
        <v>329.58122992187504</v>
      </c>
      <c r="Z102" s="72">
        <f t="shared" si="19"/>
        <v>379.01841441015625</v>
      </c>
      <c r="AA102" s="117">
        <v>171</v>
      </c>
      <c r="AB102" s="117">
        <v>169</v>
      </c>
      <c r="AC102" s="117">
        <v>34</v>
      </c>
      <c r="AD102" s="114">
        <f t="shared" si="16"/>
        <v>550.01841441015631</v>
      </c>
      <c r="AE102" s="114">
        <f t="shared" si="17"/>
        <v>548.01841441015631</v>
      </c>
      <c r="AF102" s="114">
        <f t="shared" si="18"/>
        <v>413.01841441015625</v>
      </c>
    </row>
    <row r="104" spans="1:32" x14ac:dyDescent="0.2">
      <c r="A104" s="7"/>
      <c r="B104" s="8" t="s">
        <v>144</v>
      </c>
      <c r="C104" s="8"/>
      <c r="D104" s="7"/>
      <c r="E104" s="35"/>
      <c r="F104" s="35"/>
      <c r="G104" s="35"/>
      <c r="J104" s="35"/>
      <c r="K104" s="8"/>
    </row>
    <row r="105" spans="1:32" ht="13.5" thickBot="1" x14ac:dyDescent="0.25">
      <c r="A105" s="7"/>
      <c r="B105" s="8"/>
      <c r="C105" s="3"/>
      <c r="D105" s="2"/>
    </row>
    <row r="106" spans="1:32" s="9" customFormat="1" ht="51.75" customHeight="1" thickBot="1" x14ac:dyDescent="0.25">
      <c r="B106" s="1059" t="s">
        <v>24</v>
      </c>
      <c r="C106" s="1060"/>
      <c r="D106" s="1060"/>
      <c r="E106" s="1061"/>
      <c r="F106" s="1059" t="s">
        <v>1</v>
      </c>
      <c r="G106" s="1060"/>
      <c r="H106" s="1061"/>
      <c r="I106" s="1059" t="s">
        <v>2</v>
      </c>
      <c r="J106" s="1060"/>
      <c r="K106" s="1061"/>
      <c r="L106" s="1059" t="s">
        <v>3</v>
      </c>
      <c r="M106" s="1060"/>
      <c r="N106" s="1061"/>
      <c r="O106" s="1059" t="s">
        <v>4</v>
      </c>
      <c r="P106" s="1060"/>
      <c r="Q106" s="1060"/>
      <c r="R106" s="10" t="s">
        <v>19</v>
      </c>
      <c r="S106" s="10" t="s">
        <v>31</v>
      </c>
      <c r="T106" s="10" t="s">
        <v>32</v>
      </c>
      <c r="U106" s="10" t="s">
        <v>5</v>
      </c>
      <c r="V106" s="10" t="s">
        <v>18</v>
      </c>
      <c r="W106" s="10" t="s">
        <v>37</v>
      </c>
      <c r="X106" s="10" t="s">
        <v>20</v>
      </c>
      <c r="Y106" s="152" t="s">
        <v>23</v>
      </c>
      <c r="Z106" s="19" t="s">
        <v>38</v>
      </c>
      <c r="AA106" s="1059" t="s">
        <v>93</v>
      </c>
      <c r="AB106" s="1060"/>
      <c r="AC106" s="1061"/>
      <c r="AD106" s="1062" t="s">
        <v>97</v>
      </c>
      <c r="AE106" s="1063"/>
      <c r="AF106" s="1064"/>
    </row>
    <row r="107" spans="1:32" s="20" customFormat="1" ht="13.5" thickBot="1" x14ac:dyDescent="0.25">
      <c r="A107" s="12"/>
      <c r="B107" s="13"/>
      <c r="C107" s="14"/>
      <c r="D107" s="15"/>
      <c r="E107" s="84"/>
      <c r="F107" s="57"/>
      <c r="G107" s="16" t="s">
        <v>6</v>
      </c>
      <c r="H107" s="16" t="s">
        <v>6</v>
      </c>
      <c r="I107" s="56"/>
      <c r="J107" s="16" t="s">
        <v>6</v>
      </c>
      <c r="K107" s="16" t="s">
        <v>6</v>
      </c>
      <c r="L107" s="15"/>
      <c r="M107" s="16" t="s">
        <v>6</v>
      </c>
      <c r="N107" s="16" t="s">
        <v>6</v>
      </c>
      <c r="O107" s="15"/>
      <c r="P107" s="16" t="s">
        <v>6</v>
      </c>
      <c r="Q107" s="16" t="s">
        <v>6</v>
      </c>
      <c r="R107" s="17" t="s">
        <v>6</v>
      </c>
      <c r="S107" s="18"/>
      <c r="T107" s="66" t="s">
        <v>33</v>
      </c>
      <c r="U107" s="64" t="s">
        <v>6</v>
      </c>
      <c r="V107" s="19"/>
      <c r="W107" s="64"/>
      <c r="X107" s="19"/>
      <c r="Y107" s="64"/>
      <c r="Z107" s="19" t="s">
        <v>6</v>
      </c>
      <c r="AA107" s="80" t="s">
        <v>6</v>
      </c>
      <c r="AB107" s="80" t="s">
        <v>6</v>
      </c>
      <c r="AC107" s="80" t="s">
        <v>6</v>
      </c>
      <c r="AD107" s="108" t="s">
        <v>6</v>
      </c>
      <c r="AE107" s="109" t="s">
        <v>6</v>
      </c>
      <c r="AF107" s="110" t="s">
        <v>6</v>
      </c>
    </row>
    <row r="108" spans="1:32" s="9" customFormat="1" ht="51.75" thickBot="1" x14ac:dyDescent="0.25">
      <c r="A108" s="80"/>
      <c r="B108" s="81" t="s">
        <v>7</v>
      </c>
      <c r="C108" s="82" t="s">
        <v>8</v>
      </c>
      <c r="D108" s="79" t="s">
        <v>9</v>
      </c>
      <c r="E108" s="22" t="s">
        <v>30</v>
      </c>
      <c r="F108" s="81" t="s">
        <v>10</v>
      </c>
      <c r="G108" s="21" t="s">
        <v>11</v>
      </c>
      <c r="H108" s="21" t="s">
        <v>12</v>
      </c>
      <c r="I108" s="83" t="s">
        <v>13</v>
      </c>
      <c r="J108" s="21" t="s">
        <v>11</v>
      </c>
      <c r="K108" s="21" t="s">
        <v>12</v>
      </c>
      <c r="L108" s="79" t="s">
        <v>14</v>
      </c>
      <c r="M108" s="21" t="s">
        <v>11</v>
      </c>
      <c r="N108" s="21" t="s">
        <v>12</v>
      </c>
      <c r="O108" s="79" t="s">
        <v>15</v>
      </c>
      <c r="P108" s="21" t="s">
        <v>16</v>
      </c>
      <c r="Q108" s="21" t="s">
        <v>12</v>
      </c>
      <c r="R108" s="21" t="s">
        <v>12</v>
      </c>
      <c r="S108" s="22" t="s">
        <v>34</v>
      </c>
      <c r="T108" s="23" t="s">
        <v>35</v>
      </c>
      <c r="U108" s="65" t="s">
        <v>12</v>
      </c>
      <c r="V108" s="23" t="s">
        <v>21</v>
      </c>
      <c r="W108" s="65" t="s">
        <v>22</v>
      </c>
      <c r="X108" s="23" t="s">
        <v>21</v>
      </c>
      <c r="Y108" s="65" t="s">
        <v>12</v>
      </c>
      <c r="Z108" s="23" t="s">
        <v>12</v>
      </c>
      <c r="AA108" s="107" t="s">
        <v>94</v>
      </c>
      <c r="AB108" s="107" t="s">
        <v>95</v>
      </c>
      <c r="AC108" s="107" t="s">
        <v>96</v>
      </c>
      <c r="AD108" s="111" t="s">
        <v>94</v>
      </c>
      <c r="AE108" s="111" t="s">
        <v>95</v>
      </c>
      <c r="AF108" s="111" t="s">
        <v>96</v>
      </c>
    </row>
    <row r="109" spans="1:32" s="29" customFormat="1" x14ac:dyDescent="0.2">
      <c r="A109" s="26"/>
      <c r="B109" s="38">
        <v>150</v>
      </c>
      <c r="C109" s="76">
        <v>0.16</v>
      </c>
      <c r="D109" s="27">
        <v>0.76</v>
      </c>
      <c r="E109" s="42">
        <v>4.0599999999999996</v>
      </c>
      <c r="F109" s="48">
        <v>3.0855999999999999</v>
      </c>
      <c r="G109" s="28">
        <v>3.14</v>
      </c>
      <c r="H109" s="49">
        <v>9.6887840000000001</v>
      </c>
      <c r="I109" s="43">
        <v>0.25832704000000001</v>
      </c>
      <c r="J109" s="28">
        <v>19.55</v>
      </c>
      <c r="K109" s="54">
        <v>5.0502936320000007</v>
      </c>
      <c r="L109" s="45">
        <v>2.8071769599999996</v>
      </c>
      <c r="M109" s="46">
        <v>2.23</v>
      </c>
      <c r="N109" s="47">
        <v>6.2600046207999993</v>
      </c>
      <c r="O109" s="43">
        <v>8.1199999999999992</v>
      </c>
      <c r="P109" s="28">
        <v>5.67</v>
      </c>
      <c r="Q109" s="54">
        <v>46.040399999999998</v>
      </c>
      <c r="R109" s="59">
        <v>20.999082252800001</v>
      </c>
      <c r="S109" s="62">
        <v>0.27842304000000029</v>
      </c>
      <c r="T109" s="60">
        <v>1.4792616115200017</v>
      </c>
      <c r="U109" s="62">
        <v>68.518743864320001</v>
      </c>
      <c r="V109" s="60">
        <v>9.8699999999999992</v>
      </c>
      <c r="W109" s="67">
        <v>815</v>
      </c>
      <c r="X109" s="69">
        <v>20.375</v>
      </c>
      <c r="Y109" s="67">
        <v>98.763743864320006</v>
      </c>
      <c r="Z109" s="72">
        <f t="shared" ref="Z109:Z121" si="20">Y109*1.1</f>
        <v>108.64011825075201</v>
      </c>
      <c r="AA109" s="115">
        <v>73</v>
      </c>
      <c r="AB109" s="115">
        <v>72</v>
      </c>
      <c r="AC109" s="115">
        <v>15</v>
      </c>
      <c r="AD109" s="112">
        <f t="shared" ref="AD109:AD121" si="21">(Z109+AA109)*$AG$7</f>
        <v>181.64011825075201</v>
      </c>
      <c r="AE109" s="112">
        <f t="shared" ref="AE109:AE121" si="22">(Z109+AB109)*$AG$7</f>
        <v>180.64011825075201</v>
      </c>
      <c r="AF109" s="112">
        <f t="shared" ref="AF109:AF121" si="23">(Z109+AC109)*$AG$7</f>
        <v>123.64011825075201</v>
      </c>
    </row>
    <row r="110" spans="1:32" s="29" customFormat="1" x14ac:dyDescent="0.2">
      <c r="A110" s="26"/>
      <c r="B110" s="38">
        <v>200</v>
      </c>
      <c r="C110" s="76">
        <v>0.2</v>
      </c>
      <c r="D110" s="27">
        <v>0.8</v>
      </c>
      <c r="E110" s="42">
        <v>4.0999999999999996</v>
      </c>
      <c r="F110" s="48">
        <v>3.28</v>
      </c>
      <c r="G110" s="28">
        <v>3.14</v>
      </c>
      <c r="H110" s="49">
        <v>10.299199999999999</v>
      </c>
      <c r="I110" s="43">
        <v>0.29488000000000003</v>
      </c>
      <c r="J110" s="28">
        <v>19.55</v>
      </c>
      <c r="K110" s="54">
        <v>5.7649040000000005</v>
      </c>
      <c r="L110" s="52">
        <v>2.9537199999999997</v>
      </c>
      <c r="M110" s="28">
        <v>2.23</v>
      </c>
      <c r="N110" s="49">
        <v>6.5867955999999994</v>
      </c>
      <c r="O110" s="43">
        <v>8.1999999999999993</v>
      </c>
      <c r="P110" s="28">
        <v>5.67</v>
      </c>
      <c r="Q110" s="54">
        <v>46.493999999999993</v>
      </c>
      <c r="R110" s="60">
        <v>22.650899599999999</v>
      </c>
      <c r="S110" s="62">
        <v>0.32628000000000013</v>
      </c>
      <c r="T110" s="60">
        <v>1.7335256400000005</v>
      </c>
      <c r="U110" s="62">
        <v>70.878425239999984</v>
      </c>
      <c r="V110" s="60">
        <v>11.9</v>
      </c>
      <c r="W110" s="67">
        <v>815</v>
      </c>
      <c r="X110" s="69">
        <v>20.375</v>
      </c>
      <c r="Y110" s="67">
        <v>103.15342523999999</v>
      </c>
      <c r="Z110" s="72">
        <f t="shared" si="20"/>
        <v>113.46876776399999</v>
      </c>
      <c r="AA110" s="116">
        <v>82</v>
      </c>
      <c r="AB110" s="116">
        <v>81</v>
      </c>
      <c r="AC110" s="116">
        <v>17</v>
      </c>
      <c r="AD110" s="113">
        <f t="shared" si="21"/>
        <v>195.46876776400001</v>
      </c>
      <c r="AE110" s="113">
        <f t="shared" si="22"/>
        <v>194.46876776400001</v>
      </c>
      <c r="AF110" s="113">
        <f t="shared" si="23"/>
        <v>130.46876776400001</v>
      </c>
    </row>
    <row r="111" spans="1:32" s="29" customFormat="1" x14ac:dyDescent="0.2">
      <c r="A111" s="26"/>
      <c r="B111" s="38">
        <v>250</v>
      </c>
      <c r="C111" s="76">
        <v>0.25</v>
      </c>
      <c r="D111" s="27">
        <v>0.85</v>
      </c>
      <c r="E111" s="42">
        <v>4.1499999999999995</v>
      </c>
      <c r="F111" s="48">
        <v>3.5274999999999994</v>
      </c>
      <c r="G111" s="28">
        <v>3.14</v>
      </c>
      <c r="H111" s="49">
        <v>11.076349999999998</v>
      </c>
      <c r="I111" s="43">
        <v>0.340796875</v>
      </c>
      <c r="J111" s="28">
        <v>19.55</v>
      </c>
      <c r="K111" s="54">
        <v>6.6625789062500003</v>
      </c>
      <c r="L111" s="52">
        <v>3.1376406249999995</v>
      </c>
      <c r="M111" s="28">
        <v>2.23</v>
      </c>
      <c r="N111" s="49">
        <v>6.9969385937499986</v>
      </c>
      <c r="O111" s="43">
        <v>8.2999999999999989</v>
      </c>
      <c r="P111" s="28">
        <v>5.67</v>
      </c>
      <c r="Q111" s="54">
        <v>47.060999999999993</v>
      </c>
      <c r="R111" s="60">
        <v>24.735867499999998</v>
      </c>
      <c r="S111" s="62">
        <v>0.3898593749999999</v>
      </c>
      <c r="T111" s="60">
        <v>2.0713228593749995</v>
      </c>
      <c r="U111" s="62">
        <v>73.868190359374992</v>
      </c>
      <c r="V111" s="60">
        <v>17</v>
      </c>
      <c r="W111" s="67">
        <v>815</v>
      </c>
      <c r="X111" s="69">
        <v>20.375</v>
      </c>
      <c r="Y111" s="67">
        <v>111.24319035937499</v>
      </c>
      <c r="Z111" s="512">
        <f t="shared" si="20"/>
        <v>122.3675093953125</v>
      </c>
      <c r="AA111" s="116">
        <v>82</v>
      </c>
      <c r="AB111" s="116">
        <v>81</v>
      </c>
      <c r="AC111" s="116">
        <v>17</v>
      </c>
      <c r="AD111" s="513">
        <f t="shared" si="21"/>
        <v>204.36750939531248</v>
      </c>
      <c r="AE111" s="113">
        <f t="shared" si="22"/>
        <v>203.36750939531248</v>
      </c>
      <c r="AF111" s="113">
        <f t="shared" si="23"/>
        <v>139.36750939531248</v>
      </c>
    </row>
    <row r="112" spans="1:32" s="29" customFormat="1" x14ac:dyDescent="0.2">
      <c r="A112" s="26"/>
      <c r="B112" s="38">
        <v>300</v>
      </c>
      <c r="C112" s="76">
        <v>0.315</v>
      </c>
      <c r="D112" s="27">
        <v>0.91500000000000004</v>
      </c>
      <c r="E112" s="42">
        <v>4.2149999999999999</v>
      </c>
      <c r="F112" s="48">
        <v>3.856725</v>
      </c>
      <c r="G112" s="28">
        <v>3.14</v>
      </c>
      <c r="H112" s="49">
        <v>12.1101165</v>
      </c>
      <c r="I112" s="43">
        <v>0.39995416312499998</v>
      </c>
      <c r="J112" s="28">
        <v>19.55</v>
      </c>
      <c r="K112" s="54">
        <v>7.8191038890937499</v>
      </c>
      <c r="L112" s="52">
        <v>3.3788792118750002</v>
      </c>
      <c r="M112" s="28">
        <v>2.23</v>
      </c>
      <c r="N112" s="49">
        <v>7.5349006424812499</v>
      </c>
      <c r="O112" s="43">
        <v>8.43</v>
      </c>
      <c r="P112" s="28">
        <v>5.67</v>
      </c>
      <c r="Q112" s="54">
        <v>47.798099999999998</v>
      </c>
      <c r="R112" s="60">
        <v>27.464121031575001</v>
      </c>
      <c r="S112" s="62">
        <v>0.47784578812499978</v>
      </c>
      <c r="T112" s="60">
        <v>2.5387946723081236</v>
      </c>
      <c r="U112" s="62">
        <v>77.801015703883124</v>
      </c>
      <c r="V112" s="60">
        <v>24.68</v>
      </c>
      <c r="W112" s="67">
        <v>815</v>
      </c>
      <c r="X112" s="69">
        <v>20.375</v>
      </c>
      <c r="Y112" s="67">
        <v>122.85601570388312</v>
      </c>
      <c r="Z112" s="72">
        <f t="shared" si="20"/>
        <v>135.14161727427143</v>
      </c>
      <c r="AA112" s="116">
        <v>91</v>
      </c>
      <c r="AB112" s="116">
        <v>90</v>
      </c>
      <c r="AC112" s="116">
        <v>19</v>
      </c>
      <c r="AD112" s="113">
        <f t="shared" si="21"/>
        <v>226.14161727427143</v>
      </c>
      <c r="AE112" s="113">
        <f t="shared" si="22"/>
        <v>225.14161727427143</v>
      </c>
      <c r="AF112" s="113">
        <f t="shared" si="23"/>
        <v>154.14161727427143</v>
      </c>
    </row>
    <row r="113" spans="1:32" s="29" customFormat="1" x14ac:dyDescent="0.2">
      <c r="A113" s="26"/>
      <c r="B113" s="38">
        <v>355</v>
      </c>
      <c r="C113" s="76">
        <v>0.35499999999999998</v>
      </c>
      <c r="D113" s="27">
        <v>0.95499999999999996</v>
      </c>
      <c r="E113" s="42">
        <v>4.2549999999999999</v>
      </c>
      <c r="F113" s="48">
        <v>4.0635249999999994</v>
      </c>
      <c r="G113" s="28">
        <v>3.14</v>
      </c>
      <c r="H113" s="49">
        <v>12.759468499999999</v>
      </c>
      <c r="I113" s="43">
        <v>0.43554720812499992</v>
      </c>
      <c r="J113" s="28">
        <v>19.55</v>
      </c>
      <c r="K113" s="54">
        <v>8.5149479188437489</v>
      </c>
      <c r="L113" s="52">
        <v>3.5290481668749996</v>
      </c>
      <c r="M113" s="28">
        <v>2.23</v>
      </c>
      <c r="N113" s="49">
        <v>7.8697774121312492</v>
      </c>
      <c r="O113" s="43">
        <v>8.51</v>
      </c>
      <c r="P113" s="28">
        <v>5.67</v>
      </c>
      <c r="Q113" s="54">
        <v>48.2517</v>
      </c>
      <c r="R113" s="60">
        <v>29.144193830974999</v>
      </c>
      <c r="S113" s="62">
        <v>0.53447683312499983</v>
      </c>
      <c r="T113" s="60">
        <v>2.8396754143931235</v>
      </c>
      <c r="U113" s="62">
        <v>80.235569245368126</v>
      </c>
      <c r="V113" s="60">
        <v>31.35</v>
      </c>
      <c r="W113" s="67">
        <v>815</v>
      </c>
      <c r="X113" s="69">
        <v>20.375</v>
      </c>
      <c r="Y113" s="67">
        <v>131.96056924536813</v>
      </c>
      <c r="Z113" s="72">
        <f t="shared" si="20"/>
        <v>145.15662616990497</v>
      </c>
      <c r="AA113" s="116">
        <v>91</v>
      </c>
      <c r="AB113" s="116">
        <v>90</v>
      </c>
      <c r="AC113" s="116">
        <v>19</v>
      </c>
      <c r="AD113" s="113">
        <f t="shared" si="21"/>
        <v>236.15662616990497</v>
      </c>
      <c r="AE113" s="113">
        <f t="shared" si="22"/>
        <v>235.15662616990497</v>
      </c>
      <c r="AF113" s="113">
        <f t="shared" si="23"/>
        <v>164.15662616990497</v>
      </c>
    </row>
    <row r="114" spans="1:32" s="29" customFormat="1" x14ac:dyDescent="0.2">
      <c r="A114" s="26"/>
      <c r="B114" s="38">
        <v>400</v>
      </c>
      <c r="C114" s="76">
        <v>0.4</v>
      </c>
      <c r="D114" s="27">
        <v>1</v>
      </c>
      <c r="E114" s="42">
        <v>4.3</v>
      </c>
      <c r="F114" s="48">
        <v>4.3</v>
      </c>
      <c r="G114" s="28">
        <v>3.14</v>
      </c>
      <c r="H114" s="49">
        <v>13.502000000000001</v>
      </c>
      <c r="I114" s="43">
        <v>0.47440000000000004</v>
      </c>
      <c r="J114" s="28">
        <v>19.55</v>
      </c>
      <c r="K114" s="54">
        <v>9.2745200000000008</v>
      </c>
      <c r="L114" s="52">
        <v>3.6999999999999997</v>
      </c>
      <c r="M114" s="28">
        <v>2.23</v>
      </c>
      <c r="N114" s="49">
        <v>8.2509999999999994</v>
      </c>
      <c r="O114" s="43">
        <v>8.6</v>
      </c>
      <c r="P114" s="28">
        <v>5.67</v>
      </c>
      <c r="Q114" s="54">
        <v>48.762</v>
      </c>
      <c r="R114" s="60">
        <v>31.027520000000003</v>
      </c>
      <c r="S114" s="62">
        <v>0.60000000000000009</v>
      </c>
      <c r="T114" s="60">
        <v>3.1878000000000002</v>
      </c>
      <c r="U114" s="62">
        <v>82.977320000000006</v>
      </c>
      <c r="V114" s="60">
        <v>38.44</v>
      </c>
      <c r="W114" s="67">
        <v>815</v>
      </c>
      <c r="X114" s="69">
        <v>20.375</v>
      </c>
      <c r="Y114" s="67">
        <v>141.79232000000002</v>
      </c>
      <c r="Z114" s="72">
        <f t="shared" si="20"/>
        <v>155.97155200000003</v>
      </c>
      <c r="AA114" s="116">
        <v>105</v>
      </c>
      <c r="AB114" s="116">
        <v>103</v>
      </c>
      <c r="AC114" s="116">
        <v>22</v>
      </c>
      <c r="AD114" s="113">
        <f t="shared" si="21"/>
        <v>260.97155200000003</v>
      </c>
      <c r="AE114" s="113">
        <f t="shared" si="22"/>
        <v>258.97155200000003</v>
      </c>
      <c r="AF114" s="113">
        <f t="shared" si="23"/>
        <v>177.97155200000003</v>
      </c>
    </row>
    <row r="115" spans="1:32" s="29" customFormat="1" x14ac:dyDescent="0.2">
      <c r="A115" s="26"/>
      <c r="B115" s="38">
        <v>500</v>
      </c>
      <c r="C115" s="76">
        <v>0.5</v>
      </c>
      <c r="D115" s="27">
        <v>1.1000000000000001</v>
      </c>
      <c r="E115" s="42">
        <v>4.3999999999999995</v>
      </c>
      <c r="F115" s="48">
        <v>4.84</v>
      </c>
      <c r="G115" s="28">
        <v>3.14</v>
      </c>
      <c r="H115" s="49">
        <v>15.1976</v>
      </c>
      <c r="I115" s="43">
        <v>0.55412499999999998</v>
      </c>
      <c r="J115" s="28">
        <v>19.55</v>
      </c>
      <c r="K115" s="54">
        <v>10.83314375</v>
      </c>
      <c r="L115" s="52">
        <v>4.0896249999999998</v>
      </c>
      <c r="M115" s="28">
        <v>2.23</v>
      </c>
      <c r="N115" s="49">
        <v>9.1198637500000004</v>
      </c>
      <c r="O115" s="43">
        <v>8.7999999999999989</v>
      </c>
      <c r="P115" s="28">
        <v>5.67</v>
      </c>
      <c r="Q115" s="54">
        <v>49.895999999999994</v>
      </c>
      <c r="R115" s="60">
        <v>35.1506075</v>
      </c>
      <c r="S115" s="62">
        <v>0.75037500000000001</v>
      </c>
      <c r="T115" s="60">
        <v>3.9867423749999999</v>
      </c>
      <c r="U115" s="62">
        <v>89.033349874999999</v>
      </c>
      <c r="V115" s="60">
        <v>70.239999999999995</v>
      </c>
      <c r="W115" s="67">
        <v>815</v>
      </c>
      <c r="X115" s="69">
        <v>20.375</v>
      </c>
      <c r="Y115" s="67">
        <v>179.64834987500001</v>
      </c>
      <c r="Z115" s="72">
        <f t="shared" si="20"/>
        <v>197.61318486250002</v>
      </c>
      <c r="AA115" s="116">
        <v>105</v>
      </c>
      <c r="AB115" s="116">
        <v>103</v>
      </c>
      <c r="AC115" s="116">
        <v>22</v>
      </c>
      <c r="AD115" s="113">
        <f t="shared" si="21"/>
        <v>302.61318486250002</v>
      </c>
      <c r="AE115" s="113">
        <f t="shared" si="22"/>
        <v>300.61318486250002</v>
      </c>
      <c r="AF115" s="113">
        <f t="shared" si="23"/>
        <v>219.61318486250002</v>
      </c>
    </row>
    <row r="116" spans="1:32" s="33" customFormat="1" ht="13.5" thickBot="1" x14ac:dyDescent="0.25">
      <c r="A116" s="30"/>
      <c r="B116" s="39">
        <v>600</v>
      </c>
      <c r="C116" s="77">
        <v>0.6</v>
      </c>
      <c r="D116" s="31">
        <v>1.2</v>
      </c>
      <c r="E116" s="86">
        <v>4.4999999999999991</v>
      </c>
      <c r="F116" s="50">
        <v>5.3999999999999986</v>
      </c>
      <c r="G116" s="32">
        <v>3.14</v>
      </c>
      <c r="H116" s="51">
        <v>16.955999999999996</v>
      </c>
      <c r="I116" s="44">
        <v>0.6208800000000001</v>
      </c>
      <c r="J116" s="32">
        <v>19.55</v>
      </c>
      <c r="K116" s="55">
        <v>12.138204000000002</v>
      </c>
      <c r="L116" s="58">
        <v>4.4965199999999985</v>
      </c>
      <c r="M116" s="32">
        <v>2.23</v>
      </c>
      <c r="N116" s="51">
        <v>10.027239599999996</v>
      </c>
      <c r="O116" s="44">
        <v>8.9999999999999982</v>
      </c>
      <c r="P116" s="32">
        <v>5.67</v>
      </c>
      <c r="Q116" s="55">
        <v>51.029999999999987</v>
      </c>
      <c r="R116" s="61">
        <v>39.121443599999992</v>
      </c>
      <c r="S116" s="63">
        <v>0.90348000000000006</v>
      </c>
      <c r="T116" s="61">
        <v>4.8001892399999999</v>
      </c>
      <c r="U116" s="63">
        <v>94.951632839999974</v>
      </c>
      <c r="V116" s="61">
        <v>87.89</v>
      </c>
      <c r="W116" s="68">
        <v>815</v>
      </c>
      <c r="X116" s="70">
        <v>20.375</v>
      </c>
      <c r="Y116" s="68">
        <v>203.21663283999999</v>
      </c>
      <c r="Z116" s="73">
        <f t="shared" si="20"/>
        <v>223.538296124</v>
      </c>
      <c r="AA116" s="116">
        <v>123</v>
      </c>
      <c r="AB116" s="116">
        <v>121</v>
      </c>
      <c r="AC116" s="116">
        <v>26</v>
      </c>
      <c r="AD116" s="113">
        <f t="shared" si="21"/>
        <v>346.538296124</v>
      </c>
      <c r="AE116" s="113">
        <f t="shared" si="22"/>
        <v>344.538296124</v>
      </c>
      <c r="AF116" s="113">
        <f t="shared" si="23"/>
        <v>249.538296124</v>
      </c>
    </row>
    <row r="117" spans="1:32" s="29" customFormat="1" x14ac:dyDescent="0.2">
      <c r="A117" s="26"/>
      <c r="B117" s="40">
        <v>700</v>
      </c>
      <c r="C117" s="78">
        <v>0.7</v>
      </c>
      <c r="D117" s="34">
        <v>1.2999999999999998</v>
      </c>
      <c r="E117" s="42">
        <v>4.5999999999999996</v>
      </c>
      <c r="F117" s="52">
        <v>5.9799999999999986</v>
      </c>
      <c r="G117" s="28">
        <v>3.14</v>
      </c>
      <c r="H117" s="49">
        <v>18.777199999999997</v>
      </c>
      <c r="I117" s="43">
        <v>0.66995499999999986</v>
      </c>
      <c r="J117" s="28">
        <v>19.55</v>
      </c>
      <c r="K117" s="54">
        <v>13.097620249999999</v>
      </c>
      <c r="L117" s="52">
        <v>4.9253949999999991</v>
      </c>
      <c r="M117" s="28">
        <v>2.23</v>
      </c>
      <c r="N117" s="49">
        <v>10.983630849999997</v>
      </c>
      <c r="O117" s="43">
        <v>9.1999999999999993</v>
      </c>
      <c r="P117" s="28">
        <v>5.67</v>
      </c>
      <c r="Q117" s="54">
        <v>52.163999999999994</v>
      </c>
      <c r="R117" s="60">
        <v>42.858451099999996</v>
      </c>
      <c r="S117" s="62">
        <v>1.0546049999999996</v>
      </c>
      <c r="T117" s="60">
        <v>5.6031163649999973</v>
      </c>
      <c r="U117" s="62">
        <v>100.62556746499997</v>
      </c>
      <c r="V117" s="60">
        <v>114.2</v>
      </c>
      <c r="W117" s="67">
        <v>1047</v>
      </c>
      <c r="X117" s="69">
        <v>26.175000000000001</v>
      </c>
      <c r="Y117" s="67">
        <v>241.00056746499999</v>
      </c>
      <c r="Z117" s="72">
        <f t="shared" si="20"/>
        <v>265.10062421150002</v>
      </c>
      <c r="AA117" s="116">
        <v>123</v>
      </c>
      <c r="AB117" s="116">
        <v>121</v>
      </c>
      <c r="AC117" s="116">
        <v>26</v>
      </c>
      <c r="AD117" s="113">
        <f t="shared" si="21"/>
        <v>388.10062421150002</v>
      </c>
      <c r="AE117" s="113">
        <f t="shared" si="22"/>
        <v>386.10062421150002</v>
      </c>
      <c r="AF117" s="113">
        <f t="shared" si="23"/>
        <v>291.10062421150002</v>
      </c>
    </row>
    <row r="118" spans="1:32" s="29" customFormat="1" x14ac:dyDescent="0.2">
      <c r="A118" s="26"/>
      <c r="B118" s="38">
        <v>800</v>
      </c>
      <c r="C118" s="76">
        <v>0.8</v>
      </c>
      <c r="D118" s="27">
        <v>1.4</v>
      </c>
      <c r="E118" s="42">
        <v>4.6999999999999993</v>
      </c>
      <c r="F118" s="48">
        <v>6.5799999999999983</v>
      </c>
      <c r="G118" s="28">
        <v>3.14</v>
      </c>
      <c r="H118" s="49">
        <v>20.661199999999994</v>
      </c>
      <c r="I118" s="43">
        <v>0.69663999999999981</v>
      </c>
      <c r="J118" s="28">
        <v>19.55</v>
      </c>
      <c r="K118" s="54">
        <v>13.619311999999997</v>
      </c>
      <c r="L118" s="52">
        <v>5.3809599999999991</v>
      </c>
      <c r="M118" s="28">
        <v>2.23</v>
      </c>
      <c r="N118" s="49">
        <v>11.999540799999998</v>
      </c>
      <c r="O118" s="43">
        <v>9.3999999999999986</v>
      </c>
      <c r="P118" s="28">
        <v>5.67</v>
      </c>
      <c r="Q118" s="54">
        <v>53.297999999999995</v>
      </c>
      <c r="R118" s="60">
        <v>46.280052799999986</v>
      </c>
      <c r="S118" s="62">
        <v>1.1990399999999992</v>
      </c>
      <c r="T118" s="60">
        <v>6.3704995199999956</v>
      </c>
      <c r="U118" s="62">
        <v>105.94855231999998</v>
      </c>
      <c r="V118" s="60">
        <v>140.9</v>
      </c>
      <c r="W118" s="67">
        <v>1047</v>
      </c>
      <c r="X118" s="69">
        <v>26.175000000000001</v>
      </c>
      <c r="Y118" s="67">
        <v>273.02355231999996</v>
      </c>
      <c r="Z118" s="72">
        <f t="shared" si="20"/>
        <v>300.32590755199999</v>
      </c>
      <c r="AA118" s="116">
        <v>145</v>
      </c>
      <c r="AB118" s="116">
        <v>143</v>
      </c>
      <c r="AC118" s="116">
        <v>30</v>
      </c>
      <c r="AD118" s="113">
        <f t="shared" si="21"/>
        <v>445.32590755199999</v>
      </c>
      <c r="AE118" s="113">
        <f t="shared" si="22"/>
        <v>443.32590755199999</v>
      </c>
      <c r="AF118" s="113">
        <f t="shared" si="23"/>
        <v>330.32590755199999</v>
      </c>
    </row>
    <row r="119" spans="1:32" s="29" customFormat="1" x14ac:dyDescent="0.2">
      <c r="A119" s="26"/>
      <c r="B119" s="38">
        <v>900</v>
      </c>
      <c r="C119" s="76">
        <v>0.9</v>
      </c>
      <c r="D119" s="27">
        <v>1.5</v>
      </c>
      <c r="E119" s="42">
        <v>4.8</v>
      </c>
      <c r="F119" s="48">
        <v>7.1999999999999993</v>
      </c>
      <c r="G119" s="28">
        <v>3.14</v>
      </c>
      <c r="H119" s="49">
        <v>22.607999999999997</v>
      </c>
      <c r="I119" s="43">
        <v>0.69622500000000009</v>
      </c>
      <c r="J119" s="28">
        <v>19.55</v>
      </c>
      <c r="K119" s="54">
        <v>13.611198750000002</v>
      </c>
      <c r="L119" s="52">
        <v>5.8679249999999996</v>
      </c>
      <c r="M119" s="28">
        <v>2.23</v>
      </c>
      <c r="N119" s="49">
        <v>13.085472749999999</v>
      </c>
      <c r="O119" s="43">
        <v>9.6</v>
      </c>
      <c r="P119" s="28">
        <v>5.67</v>
      </c>
      <c r="Q119" s="54">
        <v>54.431999999999995</v>
      </c>
      <c r="R119" s="60">
        <v>49.304671499999998</v>
      </c>
      <c r="S119" s="62">
        <v>1.3320749999999997</v>
      </c>
      <c r="T119" s="60">
        <v>7.0773144749999979</v>
      </c>
      <c r="U119" s="62">
        <v>110.81398597499999</v>
      </c>
      <c r="V119" s="60">
        <v>149</v>
      </c>
      <c r="W119" s="67">
        <v>1047</v>
      </c>
      <c r="X119" s="69">
        <v>26.175000000000001</v>
      </c>
      <c r="Y119" s="67">
        <v>285.98898597499999</v>
      </c>
      <c r="Z119" s="72">
        <f t="shared" si="20"/>
        <v>314.5878845725</v>
      </c>
      <c r="AA119" s="116">
        <v>145</v>
      </c>
      <c r="AB119" s="116">
        <v>143</v>
      </c>
      <c r="AC119" s="116">
        <v>30</v>
      </c>
      <c r="AD119" s="113">
        <f t="shared" si="21"/>
        <v>459.5878845725</v>
      </c>
      <c r="AE119" s="113">
        <f t="shared" si="22"/>
        <v>457.5878845725</v>
      </c>
      <c r="AF119" s="113">
        <f t="shared" si="23"/>
        <v>344.5878845725</v>
      </c>
    </row>
    <row r="120" spans="1:32" s="29" customFormat="1" x14ac:dyDescent="0.2">
      <c r="A120" s="26"/>
      <c r="B120" s="38">
        <v>1000</v>
      </c>
      <c r="C120" s="76">
        <v>1</v>
      </c>
      <c r="D120" s="27">
        <v>1.6</v>
      </c>
      <c r="E120" s="42">
        <v>4.8999999999999995</v>
      </c>
      <c r="F120" s="48">
        <v>7.84</v>
      </c>
      <c r="G120" s="28">
        <v>3.14</v>
      </c>
      <c r="H120" s="49">
        <v>24.617599999999999</v>
      </c>
      <c r="I120" s="43">
        <v>0.66399999999999992</v>
      </c>
      <c r="J120" s="28">
        <v>19.55</v>
      </c>
      <c r="K120" s="54">
        <v>12.981199999999999</v>
      </c>
      <c r="L120" s="52">
        <v>6.391</v>
      </c>
      <c r="M120" s="28">
        <v>2.23</v>
      </c>
      <c r="N120" s="49">
        <v>14.25193</v>
      </c>
      <c r="O120" s="43">
        <v>9.7999999999999989</v>
      </c>
      <c r="P120" s="28">
        <v>5.67</v>
      </c>
      <c r="Q120" s="54">
        <v>55.565999999999995</v>
      </c>
      <c r="R120" s="60">
        <v>51.850729999999999</v>
      </c>
      <c r="S120" s="62">
        <v>1.4489999999999998</v>
      </c>
      <c r="T120" s="60">
        <v>7.6985369999999991</v>
      </c>
      <c r="U120" s="62">
        <v>115.115267</v>
      </c>
      <c r="V120" s="60">
        <v>166.5</v>
      </c>
      <c r="W120" s="67">
        <v>1047</v>
      </c>
      <c r="X120" s="69">
        <v>26.175000000000001</v>
      </c>
      <c r="Y120" s="67">
        <v>307.79026700000003</v>
      </c>
      <c r="Z120" s="72">
        <f t="shared" si="20"/>
        <v>338.56929370000006</v>
      </c>
      <c r="AA120" s="116">
        <v>171</v>
      </c>
      <c r="AB120" s="116">
        <v>169</v>
      </c>
      <c r="AC120" s="116">
        <v>34</v>
      </c>
      <c r="AD120" s="113">
        <f t="shared" si="21"/>
        <v>509.56929370000006</v>
      </c>
      <c r="AE120" s="113">
        <f t="shared" si="22"/>
        <v>507.56929370000006</v>
      </c>
      <c r="AF120" s="113">
        <f t="shared" si="23"/>
        <v>372.56929370000006</v>
      </c>
    </row>
    <row r="121" spans="1:32" s="29" customFormat="1" ht="13.5" thickBot="1" x14ac:dyDescent="0.25">
      <c r="A121" s="26"/>
      <c r="B121" s="39">
        <v>1250</v>
      </c>
      <c r="C121" s="77">
        <v>1.25</v>
      </c>
      <c r="D121" s="31">
        <v>1.85</v>
      </c>
      <c r="E121" s="75">
        <v>5.1499999999999995</v>
      </c>
      <c r="F121" s="50">
        <v>9.5274999999999999</v>
      </c>
      <c r="G121" s="32">
        <v>3.14</v>
      </c>
      <c r="H121" s="51">
        <v>29.916350000000001</v>
      </c>
      <c r="I121" s="44">
        <v>0.41335937499999992</v>
      </c>
      <c r="J121" s="32">
        <v>19.55</v>
      </c>
      <c r="K121" s="55">
        <v>8.081175781249998</v>
      </c>
      <c r="L121" s="58">
        <v>7.8875781249999992</v>
      </c>
      <c r="M121" s="32">
        <v>2.23</v>
      </c>
      <c r="N121" s="51">
        <v>17.589299218749996</v>
      </c>
      <c r="O121" s="44">
        <v>10.299999999999999</v>
      </c>
      <c r="P121" s="32">
        <v>5.67</v>
      </c>
      <c r="Q121" s="55">
        <v>58.400999999999996</v>
      </c>
      <c r="R121" s="61">
        <v>55.58682499999999</v>
      </c>
      <c r="S121" s="63">
        <v>1.6399218750000006</v>
      </c>
      <c r="T121" s="61">
        <v>8.712904921875003</v>
      </c>
      <c r="U121" s="63">
        <v>122.70072992187499</v>
      </c>
      <c r="V121" s="61">
        <v>203.43</v>
      </c>
      <c r="W121" s="68">
        <v>1047</v>
      </c>
      <c r="X121" s="71">
        <v>26.175000000000001</v>
      </c>
      <c r="Y121" s="68">
        <v>352.30572992187501</v>
      </c>
      <c r="Z121" s="74">
        <f t="shared" si="20"/>
        <v>387.53630291406256</v>
      </c>
      <c r="AA121" s="117">
        <v>171</v>
      </c>
      <c r="AB121" s="117">
        <v>169</v>
      </c>
      <c r="AC121" s="117">
        <v>34</v>
      </c>
      <c r="AD121" s="114">
        <f t="shared" si="21"/>
        <v>558.53630291406262</v>
      </c>
      <c r="AE121" s="114">
        <f t="shared" si="22"/>
        <v>556.53630291406262</v>
      </c>
      <c r="AF121" s="114">
        <f t="shared" si="23"/>
        <v>421.53630291406256</v>
      </c>
    </row>
    <row r="123" spans="1:32" x14ac:dyDescent="0.2">
      <c r="A123" s="7"/>
      <c r="B123" s="8" t="s">
        <v>145</v>
      </c>
      <c r="C123" s="8"/>
      <c r="D123" s="7"/>
      <c r="E123" s="35"/>
      <c r="F123" s="35"/>
      <c r="G123" s="35"/>
      <c r="J123" s="35"/>
      <c r="K123" s="8"/>
    </row>
    <row r="124" spans="1:32" ht="13.5" thickBot="1" x14ac:dyDescent="0.25">
      <c r="A124" s="7"/>
      <c r="B124" s="8"/>
      <c r="C124" s="3"/>
      <c r="D124" s="2"/>
    </row>
    <row r="125" spans="1:32" s="9" customFormat="1" ht="51.75" customHeight="1" thickBot="1" x14ac:dyDescent="0.25">
      <c r="B125" s="1059" t="s">
        <v>24</v>
      </c>
      <c r="C125" s="1060"/>
      <c r="D125" s="1060"/>
      <c r="E125" s="1061"/>
      <c r="F125" s="1059" t="s">
        <v>1</v>
      </c>
      <c r="G125" s="1060"/>
      <c r="H125" s="1061"/>
      <c r="I125" s="1059" t="s">
        <v>2</v>
      </c>
      <c r="J125" s="1060"/>
      <c r="K125" s="1061"/>
      <c r="L125" s="1059" t="s">
        <v>3</v>
      </c>
      <c r="M125" s="1060"/>
      <c r="N125" s="1061"/>
      <c r="O125" s="1059" t="s">
        <v>4</v>
      </c>
      <c r="P125" s="1060"/>
      <c r="Q125" s="1060"/>
      <c r="R125" s="10" t="s">
        <v>19</v>
      </c>
      <c r="S125" s="10" t="s">
        <v>31</v>
      </c>
      <c r="T125" s="10" t="s">
        <v>32</v>
      </c>
      <c r="U125" s="10" t="s">
        <v>5</v>
      </c>
      <c r="V125" s="10" t="s">
        <v>18</v>
      </c>
      <c r="W125" s="10" t="s">
        <v>37</v>
      </c>
      <c r="X125" s="10" t="s">
        <v>20</v>
      </c>
      <c r="Y125" s="152" t="s">
        <v>23</v>
      </c>
      <c r="Z125" s="19" t="s">
        <v>38</v>
      </c>
      <c r="AA125" s="1059" t="s">
        <v>93</v>
      </c>
      <c r="AB125" s="1060"/>
      <c r="AC125" s="1061"/>
      <c r="AD125" s="1062" t="s">
        <v>97</v>
      </c>
      <c r="AE125" s="1063"/>
      <c r="AF125" s="1064"/>
    </row>
    <row r="126" spans="1:32" s="20" customFormat="1" ht="13.5" thickBot="1" x14ac:dyDescent="0.25">
      <c r="A126" s="12"/>
      <c r="B126" s="13"/>
      <c r="C126" s="14"/>
      <c r="D126" s="15"/>
      <c r="E126" s="84"/>
      <c r="F126" s="57"/>
      <c r="G126" s="16" t="s">
        <v>6</v>
      </c>
      <c r="H126" s="16" t="s">
        <v>6</v>
      </c>
      <c r="I126" s="56"/>
      <c r="J126" s="16" t="s">
        <v>6</v>
      </c>
      <c r="K126" s="16" t="s">
        <v>6</v>
      </c>
      <c r="L126" s="15"/>
      <c r="M126" s="16" t="s">
        <v>6</v>
      </c>
      <c r="N126" s="16" t="s">
        <v>6</v>
      </c>
      <c r="O126" s="15"/>
      <c r="P126" s="16" t="s">
        <v>6</v>
      </c>
      <c r="Q126" s="16" t="s">
        <v>6</v>
      </c>
      <c r="R126" s="17" t="s">
        <v>6</v>
      </c>
      <c r="S126" s="18"/>
      <c r="T126" s="66" t="s">
        <v>33</v>
      </c>
      <c r="U126" s="64" t="s">
        <v>6</v>
      </c>
      <c r="V126" s="19"/>
      <c r="W126" s="64"/>
      <c r="X126" s="19"/>
      <c r="Y126" s="64"/>
      <c r="Z126" s="19" t="s">
        <v>6</v>
      </c>
      <c r="AA126" s="80" t="s">
        <v>6</v>
      </c>
      <c r="AB126" s="80" t="s">
        <v>6</v>
      </c>
      <c r="AC126" s="80" t="s">
        <v>6</v>
      </c>
      <c r="AD126" s="108" t="s">
        <v>6</v>
      </c>
      <c r="AE126" s="109" t="s">
        <v>6</v>
      </c>
      <c r="AF126" s="110" t="s">
        <v>6</v>
      </c>
    </row>
    <row r="127" spans="1:32" s="9" customFormat="1" ht="51.75" thickBot="1" x14ac:dyDescent="0.25">
      <c r="A127" s="80"/>
      <c r="B127" s="81" t="s">
        <v>7</v>
      </c>
      <c r="C127" s="82" t="s">
        <v>8</v>
      </c>
      <c r="D127" s="79" t="s">
        <v>9</v>
      </c>
      <c r="E127" s="22" t="s">
        <v>30</v>
      </c>
      <c r="F127" s="81" t="s">
        <v>10</v>
      </c>
      <c r="G127" s="21" t="s">
        <v>11</v>
      </c>
      <c r="H127" s="21" t="s">
        <v>12</v>
      </c>
      <c r="I127" s="83" t="s">
        <v>13</v>
      </c>
      <c r="J127" s="21" t="s">
        <v>11</v>
      </c>
      <c r="K127" s="21" t="s">
        <v>12</v>
      </c>
      <c r="L127" s="79" t="s">
        <v>14</v>
      </c>
      <c r="M127" s="21" t="s">
        <v>11</v>
      </c>
      <c r="N127" s="21" t="s">
        <v>12</v>
      </c>
      <c r="O127" s="79" t="s">
        <v>15</v>
      </c>
      <c r="P127" s="21" t="s">
        <v>16</v>
      </c>
      <c r="Q127" s="21" t="s">
        <v>12</v>
      </c>
      <c r="R127" s="21" t="s">
        <v>12</v>
      </c>
      <c r="S127" s="22" t="s">
        <v>34</v>
      </c>
      <c r="T127" s="23" t="s">
        <v>35</v>
      </c>
      <c r="U127" s="65" t="s">
        <v>12</v>
      </c>
      <c r="V127" s="23" t="s">
        <v>21</v>
      </c>
      <c r="W127" s="65" t="s">
        <v>22</v>
      </c>
      <c r="X127" s="23" t="s">
        <v>21</v>
      </c>
      <c r="Y127" s="65" t="s">
        <v>12</v>
      </c>
      <c r="Z127" s="23" t="s">
        <v>12</v>
      </c>
      <c r="AA127" s="107" t="s">
        <v>94</v>
      </c>
      <c r="AB127" s="107" t="s">
        <v>95</v>
      </c>
      <c r="AC127" s="107" t="s">
        <v>96</v>
      </c>
      <c r="AD127" s="111" t="s">
        <v>94</v>
      </c>
      <c r="AE127" s="111" t="s">
        <v>95</v>
      </c>
      <c r="AF127" s="111" t="s">
        <v>96</v>
      </c>
    </row>
    <row r="128" spans="1:32" s="29" customFormat="1" x14ac:dyDescent="0.2">
      <c r="A128" s="26"/>
      <c r="B128" s="38">
        <v>150</v>
      </c>
      <c r="C128" s="76">
        <v>0.16</v>
      </c>
      <c r="D128" s="27">
        <v>0.76</v>
      </c>
      <c r="E128" s="42">
        <v>5.0599999999999996</v>
      </c>
      <c r="F128" s="48">
        <v>3.8455999999999997</v>
      </c>
      <c r="G128" s="28">
        <v>3.14</v>
      </c>
      <c r="H128" s="49">
        <v>12.075184</v>
      </c>
      <c r="I128" s="43">
        <v>0.25832704000000001</v>
      </c>
      <c r="J128" s="28">
        <v>19.55</v>
      </c>
      <c r="K128" s="54">
        <v>5.0502936320000007</v>
      </c>
      <c r="L128" s="45">
        <v>3.5671769599999994</v>
      </c>
      <c r="M128" s="46">
        <v>2.23</v>
      </c>
      <c r="N128" s="47">
        <v>7.9548046207999983</v>
      </c>
      <c r="O128" s="43">
        <v>10.119999999999999</v>
      </c>
      <c r="P128" s="28">
        <v>5.67</v>
      </c>
      <c r="Q128" s="54">
        <v>57.380399999999995</v>
      </c>
      <c r="R128" s="59">
        <v>25.080282252799996</v>
      </c>
      <c r="S128" s="62">
        <v>0.27842304000000029</v>
      </c>
      <c r="T128" s="60">
        <v>1.4792616115200017</v>
      </c>
      <c r="U128" s="62">
        <v>83.939943864319986</v>
      </c>
      <c r="V128" s="60">
        <v>9.8699999999999992</v>
      </c>
      <c r="W128" s="67">
        <v>815</v>
      </c>
      <c r="X128" s="69">
        <v>20.375</v>
      </c>
      <c r="Y128" s="67">
        <v>114.18494386431999</v>
      </c>
      <c r="Z128" s="72">
        <f t="shared" ref="Z128:Z140" si="24">Y128*1.1</f>
        <v>125.60343825075201</v>
      </c>
      <c r="AA128" s="115">
        <v>73</v>
      </c>
      <c r="AB128" s="115">
        <v>72</v>
      </c>
      <c r="AC128" s="115">
        <v>15</v>
      </c>
      <c r="AD128" s="112">
        <f t="shared" ref="AD128:AD140" si="25">(Z128+AA128)*$AG$7</f>
        <v>198.60343825075199</v>
      </c>
      <c r="AE128" s="112">
        <f t="shared" ref="AE128:AE140" si="26">(Z128+AB128)*$AG$7</f>
        <v>197.60343825075199</v>
      </c>
      <c r="AF128" s="112">
        <f t="shared" ref="AF128:AF140" si="27">(Z128+AC128)*$AG$7</f>
        <v>140.60343825075199</v>
      </c>
    </row>
    <row r="129" spans="1:32" s="29" customFormat="1" x14ac:dyDescent="0.2">
      <c r="A129" s="26"/>
      <c r="B129" s="38">
        <v>200</v>
      </c>
      <c r="C129" s="76">
        <v>0.2</v>
      </c>
      <c r="D129" s="27">
        <v>0.8</v>
      </c>
      <c r="E129" s="42">
        <v>5.0999999999999996</v>
      </c>
      <c r="F129" s="48">
        <v>4.08</v>
      </c>
      <c r="G129" s="28">
        <v>3.14</v>
      </c>
      <c r="H129" s="49">
        <v>12.811200000000001</v>
      </c>
      <c r="I129" s="43">
        <v>0.29488000000000003</v>
      </c>
      <c r="J129" s="28">
        <v>19.55</v>
      </c>
      <c r="K129" s="54">
        <v>5.7649040000000005</v>
      </c>
      <c r="L129" s="52">
        <v>3.7537199999999999</v>
      </c>
      <c r="M129" s="28">
        <v>2.23</v>
      </c>
      <c r="N129" s="49">
        <v>8.3707955999999992</v>
      </c>
      <c r="O129" s="43">
        <v>10.199999999999999</v>
      </c>
      <c r="P129" s="28">
        <v>5.67</v>
      </c>
      <c r="Q129" s="54">
        <v>57.833999999999996</v>
      </c>
      <c r="R129" s="60">
        <v>26.946899600000002</v>
      </c>
      <c r="S129" s="62">
        <v>0.32628000000000013</v>
      </c>
      <c r="T129" s="60">
        <v>1.7335256400000005</v>
      </c>
      <c r="U129" s="62">
        <v>86.514425239999994</v>
      </c>
      <c r="V129" s="60">
        <v>11.9</v>
      </c>
      <c r="W129" s="67">
        <v>815</v>
      </c>
      <c r="X129" s="69">
        <v>20.375</v>
      </c>
      <c r="Y129" s="67">
        <v>118.78942524</v>
      </c>
      <c r="Z129" s="72">
        <f t="shared" si="24"/>
        <v>130.66836776400001</v>
      </c>
      <c r="AA129" s="116">
        <v>82</v>
      </c>
      <c r="AB129" s="116">
        <v>81</v>
      </c>
      <c r="AC129" s="116">
        <v>17</v>
      </c>
      <c r="AD129" s="113">
        <f t="shared" si="25"/>
        <v>212.66836776400001</v>
      </c>
      <c r="AE129" s="113">
        <f t="shared" si="26"/>
        <v>211.66836776400001</v>
      </c>
      <c r="AF129" s="113">
        <f t="shared" si="27"/>
        <v>147.66836776400001</v>
      </c>
    </row>
    <row r="130" spans="1:32" s="29" customFormat="1" x14ac:dyDescent="0.2">
      <c r="A130" s="26"/>
      <c r="B130" s="38">
        <v>250</v>
      </c>
      <c r="C130" s="76">
        <v>0.25</v>
      </c>
      <c r="D130" s="27">
        <v>0.85</v>
      </c>
      <c r="E130" s="42">
        <v>5.1499999999999995</v>
      </c>
      <c r="F130" s="48">
        <v>4.3774999999999995</v>
      </c>
      <c r="G130" s="28">
        <v>3.14</v>
      </c>
      <c r="H130" s="49">
        <v>13.745349999999998</v>
      </c>
      <c r="I130" s="43">
        <v>0.340796875</v>
      </c>
      <c r="J130" s="28">
        <v>19.55</v>
      </c>
      <c r="K130" s="54">
        <v>6.6625789062500003</v>
      </c>
      <c r="L130" s="52">
        <v>3.987640625</v>
      </c>
      <c r="M130" s="28">
        <v>2.23</v>
      </c>
      <c r="N130" s="49">
        <v>8.8924385937500006</v>
      </c>
      <c r="O130" s="43">
        <v>10.299999999999999</v>
      </c>
      <c r="P130" s="28">
        <v>5.67</v>
      </c>
      <c r="Q130" s="54">
        <v>58.400999999999996</v>
      </c>
      <c r="R130" s="60">
        <v>29.3003675</v>
      </c>
      <c r="S130" s="62">
        <v>0.38985937499999945</v>
      </c>
      <c r="T130" s="60">
        <v>2.0713228593749973</v>
      </c>
      <c r="U130" s="62">
        <v>89.772690359375005</v>
      </c>
      <c r="V130" s="60">
        <v>17</v>
      </c>
      <c r="W130" s="67">
        <v>815</v>
      </c>
      <c r="X130" s="69">
        <v>20.375</v>
      </c>
      <c r="Y130" s="67">
        <v>127.14769035937501</v>
      </c>
      <c r="Z130" s="72">
        <f t="shared" si="24"/>
        <v>139.86245939531253</v>
      </c>
      <c r="AA130" s="116">
        <v>82</v>
      </c>
      <c r="AB130" s="116">
        <v>81</v>
      </c>
      <c r="AC130" s="116">
        <v>17</v>
      </c>
      <c r="AD130" s="113">
        <f t="shared" si="25"/>
        <v>221.86245939531253</v>
      </c>
      <c r="AE130" s="113">
        <f t="shared" si="26"/>
        <v>220.86245939531253</v>
      </c>
      <c r="AF130" s="113">
        <f t="shared" si="27"/>
        <v>156.86245939531253</v>
      </c>
    </row>
    <row r="131" spans="1:32" s="29" customFormat="1" x14ac:dyDescent="0.2">
      <c r="A131" s="26"/>
      <c r="B131" s="38">
        <v>300</v>
      </c>
      <c r="C131" s="76">
        <v>0.315</v>
      </c>
      <c r="D131" s="27">
        <v>0.91500000000000004</v>
      </c>
      <c r="E131" s="42">
        <v>5.2149999999999999</v>
      </c>
      <c r="F131" s="48">
        <v>4.771725</v>
      </c>
      <c r="G131" s="28">
        <v>3.14</v>
      </c>
      <c r="H131" s="49">
        <v>14.983216500000001</v>
      </c>
      <c r="I131" s="43">
        <v>0.39995416312499998</v>
      </c>
      <c r="J131" s="28">
        <v>19.55</v>
      </c>
      <c r="K131" s="54">
        <v>7.8191038890937499</v>
      </c>
      <c r="L131" s="52">
        <v>4.2938792118749998</v>
      </c>
      <c r="M131" s="28">
        <v>2.23</v>
      </c>
      <c r="N131" s="49">
        <v>9.5753506424812489</v>
      </c>
      <c r="O131" s="43">
        <v>10.43</v>
      </c>
      <c r="P131" s="28">
        <v>5.67</v>
      </c>
      <c r="Q131" s="54">
        <v>59.138099999999994</v>
      </c>
      <c r="R131" s="60">
        <v>32.377671031574998</v>
      </c>
      <c r="S131" s="62">
        <v>0.47784578812500023</v>
      </c>
      <c r="T131" s="60">
        <v>2.5387946723081258</v>
      </c>
      <c r="U131" s="62">
        <v>94.054565703883114</v>
      </c>
      <c r="V131" s="60">
        <v>24.68</v>
      </c>
      <c r="W131" s="67">
        <v>815</v>
      </c>
      <c r="X131" s="69">
        <v>20.375</v>
      </c>
      <c r="Y131" s="67">
        <v>139.10956570388311</v>
      </c>
      <c r="Z131" s="72">
        <f t="shared" si="24"/>
        <v>153.02052227427143</v>
      </c>
      <c r="AA131" s="116">
        <v>91</v>
      </c>
      <c r="AB131" s="116">
        <v>90</v>
      </c>
      <c r="AC131" s="116">
        <v>19</v>
      </c>
      <c r="AD131" s="113">
        <f t="shared" si="25"/>
        <v>244.02052227427143</v>
      </c>
      <c r="AE131" s="113">
        <f t="shared" si="26"/>
        <v>243.02052227427143</v>
      </c>
      <c r="AF131" s="113">
        <f t="shared" si="27"/>
        <v>172.02052227427143</v>
      </c>
    </row>
    <row r="132" spans="1:32" s="29" customFormat="1" x14ac:dyDescent="0.2">
      <c r="A132" s="26"/>
      <c r="B132" s="38">
        <v>355</v>
      </c>
      <c r="C132" s="76">
        <v>0.35499999999999998</v>
      </c>
      <c r="D132" s="27">
        <v>0.95499999999999996</v>
      </c>
      <c r="E132" s="42">
        <v>5.2549999999999999</v>
      </c>
      <c r="F132" s="48">
        <v>5.0185249999999995</v>
      </c>
      <c r="G132" s="28">
        <v>3.14</v>
      </c>
      <c r="H132" s="49">
        <v>15.758168499999998</v>
      </c>
      <c r="I132" s="43">
        <v>0.43554720812499992</v>
      </c>
      <c r="J132" s="28">
        <v>19.55</v>
      </c>
      <c r="K132" s="54">
        <v>8.5149479188437489</v>
      </c>
      <c r="L132" s="52">
        <v>4.4840481668749996</v>
      </c>
      <c r="M132" s="28">
        <v>2.23</v>
      </c>
      <c r="N132" s="49">
        <v>9.999427412131249</v>
      </c>
      <c r="O132" s="43">
        <v>10.51</v>
      </c>
      <c r="P132" s="28">
        <v>5.67</v>
      </c>
      <c r="Q132" s="54">
        <v>59.591699999999996</v>
      </c>
      <c r="R132" s="60">
        <v>34.272543830974996</v>
      </c>
      <c r="S132" s="62">
        <v>0.53447683312499983</v>
      </c>
      <c r="T132" s="60">
        <v>2.8396754143931235</v>
      </c>
      <c r="U132" s="62">
        <v>96.703919245368127</v>
      </c>
      <c r="V132" s="60">
        <v>31.35</v>
      </c>
      <c r="W132" s="67">
        <v>815</v>
      </c>
      <c r="X132" s="69">
        <v>20.375</v>
      </c>
      <c r="Y132" s="67">
        <v>148.42891924536812</v>
      </c>
      <c r="Z132" s="72">
        <f t="shared" si="24"/>
        <v>163.27181116990494</v>
      </c>
      <c r="AA132" s="116">
        <v>91</v>
      </c>
      <c r="AB132" s="116">
        <v>90</v>
      </c>
      <c r="AC132" s="116">
        <v>19</v>
      </c>
      <c r="AD132" s="113">
        <f t="shared" si="25"/>
        <v>254.27181116990494</v>
      </c>
      <c r="AE132" s="113">
        <f t="shared" si="26"/>
        <v>253.27181116990494</v>
      </c>
      <c r="AF132" s="113">
        <f t="shared" si="27"/>
        <v>182.27181116990494</v>
      </c>
    </row>
    <row r="133" spans="1:32" s="29" customFormat="1" x14ac:dyDescent="0.2">
      <c r="A133" s="26"/>
      <c r="B133" s="38">
        <v>400</v>
      </c>
      <c r="C133" s="76">
        <v>0.4</v>
      </c>
      <c r="D133" s="27">
        <v>1</v>
      </c>
      <c r="E133" s="42">
        <v>5.3</v>
      </c>
      <c r="F133" s="48">
        <v>5.3</v>
      </c>
      <c r="G133" s="28">
        <v>3.14</v>
      </c>
      <c r="H133" s="49">
        <v>16.641999999999999</v>
      </c>
      <c r="I133" s="43">
        <v>0.47440000000000004</v>
      </c>
      <c r="J133" s="28">
        <v>19.55</v>
      </c>
      <c r="K133" s="54">
        <v>9.2745200000000008</v>
      </c>
      <c r="L133" s="52">
        <v>4.6999999999999993</v>
      </c>
      <c r="M133" s="28">
        <v>2.23</v>
      </c>
      <c r="N133" s="49">
        <v>10.480999999999998</v>
      </c>
      <c r="O133" s="43">
        <v>10.6</v>
      </c>
      <c r="P133" s="28">
        <v>5.67</v>
      </c>
      <c r="Q133" s="54">
        <v>60.101999999999997</v>
      </c>
      <c r="R133" s="60">
        <v>36.39752</v>
      </c>
      <c r="S133" s="62">
        <v>0.60000000000000053</v>
      </c>
      <c r="T133" s="60">
        <v>3.1878000000000024</v>
      </c>
      <c r="U133" s="62">
        <v>99.687319999999985</v>
      </c>
      <c r="V133" s="60">
        <v>38.44</v>
      </c>
      <c r="W133" s="67">
        <v>815</v>
      </c>
      <c r="X133" s="69">
        <v>20.375</v>
      </c>
      <c r="Y133" s="67">
        <v>158.50232</v>
      </c>
      <c r="Z133" s="72">
        <f t="shared" si="24"/>
        <v>174.352552</v>
      </c>
      <c r="AA133" s="116">
        <v>105</v>
      </c>
      <c r="AB133" s="116">
        <v>103</v>
      </c>
      <c r="AC133" s="116">
        <v>22</v>
      </c>
      <c r="AD133" s="113">
        <f t="shared" si="25"/>
        <v>279.352552</v>
      </c>
      <c r="AE133" s="113">
        <f t="shared" si="26"/>
        <v>277.352552</v>
      </c>
      <c r="AF133" s="113">
        <f t="shared" si="27"/>
        <v>196.352552</v>
      </c>
    </row>
    <row r="134" spans="1:32" s="29" customFormat="1" x14ac:dyDescent="0.2">
      <c r="A134" s="26"/>
      <c r="B134" s="38">
        <v>500</v>
      </c>
      <c r="C134" s="76">
        <v>0.5</v>
      </c>
      <c r="D134" s="27">
        <v>1.1000000000000001</v>
      </c>
      <c r="E134" s="42">
        <v>5.3999999999999995</v>
      </c>
      <c r="F134" s="48">
        <v>5.9399999999999995</v>
      </c>
      <c r="G134" s="28">
        <v>3.14</v>
      </c>
      <c r="H134" s="49">
        <v>18.651599999999998</v>
      </c>
      <c r="I134" s="43">
        <v>0.55412499999999998</v>
      </c>
      <c r="J134" s="28">
        <v>19.55</v>
      </c>
      <c r="K134" s="54">
        <v>10.83314375</v>
      </c>
      <c r="L134" s="52">
        <v>5.1896249999999995</v>
      </c>
      <c r="M134" s="28">
        <v>2.23</v>
      </c>
      <c r="N134" s="49">
        <v>11.572863749999998</v>
      </c>
      <c r="O134" s="43">
        <v>10.799999999999999</v>
      </c>
      <c r="P134" s="28">
        <v>5.67</v>
      </c>
      <c r="Q134" s="54">
        <v>61.23599999999999</v>
      </c>
      <c r="R134" s="60">
        <v>41.057607499999996</v>
      </c>
      <c r="S134" s="62">
        <v>0.75037500000000001</v>
      </c>
      <c r="T134" s="60">
        <v>3.9867423749999999</v>
      </c>
      <c r="U134" s="62">
        <v>106.28034987499998</v>
      </c>
      <c r="V134" s="60">
        <v>70.239999999999995</v>
      </c>
      <c r="W134" s="67">
        <v>815</v>
      </c>
      <c r="X134" s="69">
        <v>20.375</v>
      </c>
      <c r="Y134" s="67">
        <v>196.89534987499997</v>
      </c>
      <c r="Z134" s="72">
        <f t="shared" si="24"/>
        <v>216.58488486249999</v>
      </c>
      <c r="AA134" s="116">
        <v>105</v>
      </c>
      <c r="AB134" s="116">
        <v>103</v>
      </c>
      <c r="AC134" s="116">
        <v>22</v>
      </c>
      <c r="AD134" s="113">
        <f t="shared" si="25"/>
        <v>321.58488486249996</v>
      </c>
      <c r="AE134" s="113">
        <f t="shared" si="26"/>
        <v>319.58488486249996</v>
      </c>
      <c r="AF134" s="113">
        <f t="shared" si="27"/>
        <v>238.58488486249999</v>
      </c>
    </row>
    <row r="135" spans="1:32" s="33" customFormat="1" ht="13.5" thickBot="1" x14ac:dyDescent="0.25">
      <c r="A135" s="30"/>
      <c r="B135" s="39">
        <v>600</v>
      </c>
      <c r="C135" s="77">
        <v>0.6</v>
      </c>
      <c r="D135" s="31">
        <v>1.2</v>
      </c>
      <c r="E135" s="42">
        <v>5.4999999999999991</v>
      </c>
      <c r="F135" s="50">
        <v>6.5999999999999988</v>
      </c>
      <c r="G135" s="32">
        <v>3.14</v>
      </c>
      <c r="H135" s="51">
        <v>20.723999999999997</v>
      </c>
      <c r="I135" s="44">
        <v>0.6208800000000001</v>
      </c>
      <c r="J135" s="32">
        <v>19.55</v>
      </c>
      <c r="K135" s="55">
        <v>12.138204000000002</v>
      </c>
      <c r="L135" s="58">
        <v>5.6965199999999978</v>
      </c>
      <c r="M135" s="32">
        <v>2.23</v>
      </c>
      <c r="N135" s="51">
        <v>12.703239599999995</v>
      </c>
      <c r="O135" s="44">
        <v>10.999999999999998</v>
      </c>
      <c r="P135" s="32">
        <v>5.67</v>
      </c>
      <c r="Q135" s="55">
        <v>62.36999999999999</v>
      </c>
      <c r="R135" s="61">
        <v>45.565443599999995</v>
      </c>
      <c r="S135" s="63">
        <v>0.90348000000000095</v>
      </c>
      <c r="T135" s="61">
        <v>4.8001892400000044</v>
      </c>
      <c r="U135" s="63">
        <v>112.73563283999999</v>
      </c>
      <c r="V135" s="61">
        <v>87.89</v>
      </c>
      <c r="W135" s="68">
        <v>815</v>
      </c>
      <c r="X135" s="70">
        <v>20.375</v>
      </c>
      <c r="Y135" s="68">
        <v>221.00063283999998</v>
      </c>
      <c r="Z135" s="72">
        <f t="shared" si="24"/>
        <v>243.100696124</v>
      </c>
      <c r="AA135" s="116">
        <v>123</v>
      </c>
      <c r="AB135" s="116">
        <v>121</v>
      </c>
      <c r="AC135" s="116">
        <v>26</v>
      </c>
      <c r="AD135" s="113">
        <f t="shared" si="25"/>
        <v>366.10069612400002</v>
      </c>
      <c r="AE135" s="113">
        <f t="shared" si="26"/>
        <v>364.10069612400002</v>
      </c>
      <c r="AF135" s="113">
        <f t="shared" si="27"/>
        <v>269.10069612400002</v>
      </c>
    </row>
    <row r="136" spans="1:32" s="29" customFormat="1" x14ac:dyDescent="0.2">
      <c r="A136" s="26"/>
      <c r="B136" s="40">
        <v>700</v>
      </c>
      <c r="C136" s="78">
        <v>0.7</v>
      </c>
      <c r="D136" s="34">
        <v>1.2999999999999998</v>
      </c>
      <c r="E136" s="42">
        <v>5.6</v>
      </c>
      <c r="F136" s="52">
        <v>7.2799999999999985</v>
      </c>
      <c r="G136" s="28">
        <v>3.14</v>
      </c>
      <c r="H136" s="49">
        <v>22.859199999999998</v>
      </c>
      <c r="I136" s="43">
        <v>0.66995499999999986</v>
      </c>
      <c r="J136" s="28">
        <v>19.55</v>
      </c>
      <c r="K136" s="54">
        <v>13.097620249999999</v>
      </c>
      <c r="L136" s="52">
        <v>6.2253949999999989</v>
      </c>
      <c r="M136" s="28">
        <v>2.23</v>
      </c>
      <c r="N136" s="49">
        <v>13.882630849999998</v>
      </c>
      <c r="O136" s="43">
        <v>11.2</v>
      </c>
      <c r="P136" s="28">
        <v>5.67</v>
      </c>
      <c r="Q136" s="54">
        <v>63.503999999999998</v>
      </c>
      <c r="R136" s="60">
        <v>49.839451099999991</v>
      </c>
      <c r="S136" s="62">
        <v>1.0546049999999996</v>
      </c>
      <c r="T136" s="60">
        <v>5.6031163649999973</v>
      </c>
      <c r="U136" s="62">
        <v>118.94656746499997</v>
      </c>
      <c r="V136" s="60">
        <v>114.2</v>
      </c>
      <c r="W136" s="67">
        <v>1047</v>
      </c>
      <c r="X136" s="69">
        <v>26.175000000000001</v>
      </c>
      <c r="Y136" s="67">
        <v>259.32156746499999</v>
      </c>
      <c r="Z136" s="72">
        <f t="shared" si="24"/>
        <v>285.25372421150001</v>
      </c>
      <c r="AA136" s="116">
        <v>123</v>
      </c>
      <c r="AB136" s="116">
        <v>121</v>
      </c>
      <c r="AC136" s="116">
        <v>26</v>
      </c>
      <c r="AD136" s="113">
        <f t="shared" si="25"/>
        <v>408.25372421150001</v>
      </c>
      <c r="AE136" s="113">
        <f t="shared" si="26"/>
        <v>406.25372421150001</v>
      </c>
      <c r="AF136" s="113">
        <f t="shared" si="27"/>
        <v>311.25372421150001</v>
      </c>
    </row>
    <row r="137" spans="1:32" s="29" customFormat="1" x14ac:dyDescent="0.2">
      <c r="A137" s="26"/>
      <c r="B137" s="38">
        <v>800</v>
      </c>
      <c r="C137" s="76">
        <v>0.8</v>
      </c>
      <c r="D137" s="27">
        <v>1.4</v>
      </c>
      <c r="E137" s="42">
        <v>5.6999999999999993</v>
      </c>
      <c r="F137" s="48">
        <v>7.9799999999999986</v>
      </c>
      <c r="G137" s="28">
        <v>3.14</v>
      </c>
      <c r="H137" s="49">
        <v>25.057199999999998</v>
      </c>
      <c r="I137" s="43">
        <v>0.69663999999999981</v>
      </c>
      <c r="J137" s="28">
        <v>19.55</v>
      </c>
      <c r="K137" s="54">
        <v>13.619311999999997</v>
      </c>
      <c r="L137" s="52">
        <v>6.7809599999999994</v>
      </c>
      <c r="M137" s="28">
        <v>2.23</v>
      </c>
      <c r="N137" s="49">
        <v>15.121540799999998</v>
      </c>
      <c r="O137" s="43">
        <v>11.399999999999999</v>
      </c>
      <c r="P137" s="28">
        <v>5.67</v>
      </c>
      <c r="Q137" s="54">
        <v>64.637999999999991</v>
      </c>
      <c r="R137" s="60">
        <v>53.798052799999994</v>
      </c>
      <c r="S137" s="62">
        <v>1.1990399999999992</v>
      </c>
      <c r="T137" s="60">
        <v>6.3704995199999956</v>
      </c>
      <c r="U137" s="62">
        <v>124.80655231999998</v>
      </c>
      <c r="V137" s="60">
        <v>140.9</v>
      </c>
      <c r="W137" s="67">
        <v>1047</v>
      </c>
      <c r="X137" s="69">
        <v>26.175000000000001</v>
      </c>
      <c r="Y137" s="67">
        <v>291.88155232000003</v>
      </c>
      <c r="Z137" s="72">
        <f t="shared" si="24"/>
        <v>321.06970755200007</v>
      </c>
      <c r="AA137" s="116">
        <v>145</v>
      </c>
      <c r="AB137" s="116">
        <v>143</v>
      </c>
      <c r="AC137" s="116">
        <v>30</v>
      </c>
      <c r="AD137" s="113">
        <f t="shared" si="25"/>
        <v>466.06970755200007</v>
      </c>
      <c r="AE137" s="113">
        <f t="shared" si="26"/>
        <v>464.06970755200007</v>
      </c>
      <c r="AF137" s="113">
        <f t="shared" si="27"/>
        <v>351.06970755200007</v>
      </c>
    </row>
    <row r="138" spans="1:32" s="29" customFormat="1" x14ac:dyDescent="0.2">
      <c r="A138" s="26"/>
      <c r="B138" s="38">
        <v>900</v>
      </c>
      <c r="C138" s="76">
        <v>0.9</v>
      </c>
      <c r="D138" s="27">
        <v>1.5</v>
      </c>
      <c r="E138" s="42">
        <v>5.8</v>
      </c>
      <c r="F138" s="48">
        <v>8.6999999999999993</v>
      </c>
      <c r="G138" s="28">
        <v>3.14</v>
      </c>
      <c r="H138" s="49">
        <v>27.317999999999998</v>
      </c>
      <c r="I138" s="43">
        <v>0.69622500000000009</v>
      </c>
      <c r="J138" s="28">
        <v>19.55</v>
      </c>
      <c r="K138" s="54">
        <v>13.611198750000002</v>
      </c>
      <c r="L138" s="52">
        <v>7.3679249999999996</v>
      </c>
      <c r="M138" s="28">
        <v>2.23</v>
      </c>
      <c r="N138" s="49">
        <v>16.43047275</v>
      </c>
      <c r="O138" s="43">
        <v>11.6</v>
      </c>
      <c r="P138" s="28">
        <v>5.67</v>
      </c>
      <c r="Q138" s="54">
        <v>65.771999999999991</v>
      </c>
      <c r="R138" s="60">
        <v>57.359671499999997</v>
      </c>
      <c r="S138" s="62">
        <v>1.3320749999999997</v>
      </c>
      <c r="T138" s="60">
        <v>7.0773144749999979</v>
      </c>
      <c r="U138" s="62">
        <v>130.20898597499999</v>
      </c>
      <c r="V138" s="60">
        <v>149</v>
      </c>
      <c r="W138" s="67">
        <v>1047</v>
      </c>
      <c r="X138" s="69">
        <v>26.175000000000001</v>
      </c>
      <c r="Y138" s="67">
        <v>305.38398597500003</v>
      </c>
      <c r="Z138" s="72">
        <f t="shared" si="24"/>
        <v>335.92238457250005</v>
      </c>
      <c r="AA138" s="116">
        <v>145</v>
      </c>
      <c r="AB138" s="116">
        <v>143</v>
      </c>
      <c r="AC138" s="116">
        <v>30</v>
      </c>
      <c r="AD138" s="113">
        <f t="shared" si="25"/>
        <v>480.92238457250005</v>
      </c>
      <c r="AE138" s="113">
        <f t="shared" si="26"/>
        <v>478.92238457250005</v>
      </c>
      <c r="AF138" s="113">
        <f t="shared" si="27"/>
        <v>365.92238457250005</v>
      </c>
    </row>
    <row r="139" spans="1:32" s="29" customFormat="1" x14ac:dyDescent="0.2">
      <c r="A139" s="26"/>
      <c r="B139" s="38">
        <v>1000</v>
      </c>
      <c r="C139" s="76">
        <v>1</v>
      </c>
      <c r="D139" s="27">
        <v>1.6</v>
      </c>
      <c r="E139" s="42">
        <v>5.8999999999999995</v>
      </c>
      <c r="F139" s="48">
        <v>9.44</v>
      </c>
      <c r="G139" s="28">
        <v>3.14</v>
      </c>
      <c r="H139" s="49">
        <v>29.6416</v>
      </c>
      <c r="I139" s="43">
        <v>0.66399999999999992</v>
      </c>
      <c r="J139" s="28">
        <v>19.55</v>
      </c>
      <c r="K139" s="54">
        <v>12.981199999999999</v>
      </c>
      <c r="L139" s="52">
        <v>7.9909999999999997</v>
      </c>
      <c r="M139" s="28">
        <v>2.23</v>
      </c>
      <c r="N139" s="49">
        <v>17.819929999999999</v>
      </c>
      <c r="O139" s="43">
        <v>11.799999999999999</v>
      </c>
      <c r="P139" s="28">
        <v>5.67</v>
      </c>
      <c r="Q139" s="54">
        <v>66.905999999999992</v>
      </c>
      <c r="R139" s="60">
        <v>60.442729999999997</v>
      </c>
      <c r="S139" s="62">
        <v>1.4489999999999998</v>
      </c>
      <c r="T139" s="60">
        <v>7.6985369999999991</v>
      </c>
      <c r="U139" s="62">
        <v>135.04726699999998</v>
      </c>
      <c r="V139" s="60">
        <v>166.5</v>
      </c>
      <c r="W139" s="67">
        <v>1047</v>
      </c>
      <c r="X139" s="69">
        <v>26.175000000000001</v>
      </c>
      <c r="Y139" s="67">
        <v>327.72226699999999</v>
      </c>
      <c r="Z139" s="72">
        <f t="shared" si="24"/>
        <v>360.49449370000002</v>
      </c>
      <c r="AA139" s="116">
        <v>171</v>
      </c>
      <c r="AB139" s="116">
        <v>169</v>
      </c>
      <c r="AC139" s="116">
        <v>34</v>
      </c>
      <c r="AD139" s="113">
        <f t="shared" si="25"/>
        <v>531.49449370000002</v>
      </c>
      <c r="AE139" s="113">
        <f t="shared" si="26"/>
        <v>529.49449370000002</v>
      </c>
      <c r="AF139" s="113">
        <f t="shared" si="27"/>
        <v>394.49449370000002</v>
      </c>
    </row>
    <row r="140" spans="1:32" s="29" customFormat="1" ht="13.5" thickBot="1" x14ac:dyDescent="0.25">
      <c r="A140" s="26"/>
      <c r="B140" s="39">
        <v>1250</v>
      </c>
      <c r="C140" s="77">
        <v>1.25</v>
      </c>
      <c r="D140" s="31">
        <v>1.85</v>
      </c>
      <c r="E140" s="75">
        <v>6.1499999999999995</v>
      </c>
      <c r="F140" s="50">
        <v>11.3775</v>
      </c>
      <c r="G140" s="32">
        <v>3.14</v>
      </c>
      <c r="H140" s="51">
        <v>35.725349999999999</v>
      </c>
      <c r="I140" s="44">
        <v>0.41335937499999992</v>
      </c>
      <c r="J140" s="32">
        <v>19.55</v>
      </c>
      <c r="K140" s="55">
        <v>8.081175781249998</v>
      </c>
      <c r="L140" s="58">
        <v>9.7375781249999989</v>
      </c>
      <c r="M140" s="32">
        <v>2.23</v>
      </c>
      <c r="N140" s="51">
        <v>21.714799218749999</v>
      </c>
      <c r="O140" s="44">
        <v>12.299999999999999</v>
      </c>
      <c r="P140" s="32">
        <v>5.67</v>
      </c>
      <c r="Q140" s="55">
        <v>69.741</v>
      </c>
      <c r="R140" s="61">
        <v>65.52132499999999</v>
      </c>
      <c r="S140" s="63">
        <v>1.6399218750000006</v>
      </c>
      <c r="T140" s="61">
        <v>8.712904921875003</v>
      </c>
      <c r="U140" s="63">
        <v>143.97522992187498</v>
      </c>
      <c r="V140" s="61">
        <v>203.43</v>
      </c>
      <c r="W140" s="68">
        <v>1047</v>
      </c>
      <c r="X140" s="71">
        <v>26.175000000000001</v>
      </c>
      <c r="Y140" s="68">
        <v>373.580229921875</v>
      </c>
      <c r="Z140" s="72">
        <f t="shared" si="24"/>
        <v>410.93825291406256</v>
      </c>
      <c r="AA140" s="117">
        <v>171</v>
      </c>
      <c r="AB140" s="117">
        <v>169</v>
      </c>
      <c r="AC140" s="117">
        <v>34</v>
      </c>
      <c r="AD140" s="114">
        <f t="shared" si="25"/>
        <v>581.93825291406256</v>
      </c>
      <c r="AE140" s="114">
        <f t="shared" si="26"/>
        <v>579.93825291406256</v>
      </c>
      <c r="AF140" s="114">
        <f t="shared" si="27"/>
        <v>444.93825291406256</v>
      </c>
    </row>
    <row r="142" spans="1:32" x14ac:dyDescent="0.2">
      <c r="A142" s="7"/>
      <c r="B142" s="8" t="s">
        <v>146</v>
      </c>
      <c r="C142" s="8"/>
      <c r="D142" s="7"/>
      <c r="E142" s="35"/>
      <c r="F142" s="35"/>
      <c r="G142" s="35"/>
      <c r="J142" s="35"/>
      <c r="K142" s="8"/>
    </row>
    <row r="143" spans="1:32" ht="13.5" thickBot="1" x14ac:dyDescent="0.25">
      <c r="A143" s="7"/>
      <c r="B143" s="8"/>
      <c r="C143" s="3"/>
      <c r="D143" s="2"/>
    </row>
    <row r="144" spans="1:32" s="9" customFormat="1" ht="54.75" customHeight="1" thickBot="1" x14ac:dyDescent="0.25">
      <c r="B144" s="1059" t="s">
        <v>24</v>
      </c>
      <c r="C144" s="1060"/>
      <c r="D144" s="1060"/>
      <c r="E144" s="1061"/>
      <c r="F144" s="1059" t="s">
        <v>1</v>
      </c>
      <c r="G144" s="1060"/>
      <c r="H144" s="1061"/>
      <c r="I144" s="1059" t="s">
        <v>2</v>
      </c>
      <c r="J144" s="1060"/>
      <c r="K144" s="1061"/>
      <c r="L144" s="1059" t="s">
        <v>3</v>
      </c>
      <c r="M144" s="1060"/>
      <c r="N144" s="1061"/>
      <c r="O144" s="1059" t="s">
        <v>4</v>
      </c>
      <c r="P144" s="1060"/>
      <c r="Q144" s="1060"/>
      <c r="R144" s="10" t="s">
        <v>19</v>
      </c>
      <c r="S144" s="10" t="s">
        <v>31</v>
      </c>
      <c r="T144" s="10" t="s">
        <v>32</v>
      </c>
      <c r="U144" s="10" t="s">
        <v>5</v>
      </c>
      <c r="V144" s="10" t="s">
        <v>18</v>
      </c>
      <c r="W144" s="10" t="s">
        <v>37</v>
      </c>
      <c r="X144" s="10" t="s">
        <v>20</v>
      </c>
      <c r="Y144" s="152" t="s">
        <v>23</v>
      </c>
      <c r="Z144" s="19" t="s">
        <v>38</v>
      </c>
      <c r="AA144" s="1059" t="s">
        <v>93</v>
      </c>
      <c r="AB144" s="1060"/>
      <c r="AC144" s="1061"/>
      <c r="AD144" s="1062" t="s">
        <v>97</v>
      </c>
      <c r="AE144" s="1063"/>
      <c r="AF144" s="1064"/>
    </row>
    <row r="145" spans="1:32" s="20" customFormat="1" ht="13.5" thickBot="1" x14ac:dyDescent="0.25">
      <c r="A145" s="12"/>
      <c r="B145" s="13"/>
      <c r="C145" s="14"/>
      <c r="D145" s="15"/>
      <c r="E145" s="84"/>
      <c r="F145" s="57"/>
      <c r="G145" s="16" t="s">
        <v>6</v>
      </c>
      <c r="H145" s="16" t="s">
        <v>6</v>
      </c>
      <c r="I145" s="56"/>
      <c r="J145" s="16" t="s">
        <v>6</v>
      </c>
      <c r="K145" s="16" t="s">
        <v>6</v>
      </c>
      <c r="L145" s="15"/>
      <c r="M145" s="16" t="s">
        <v>6</v>
      </c>
      <c r="N145" s="16" t="s">
        <v>6</v>
      </c>
      <c r="O145" s="15"/>
      <c r="P145" s="16" t="s">
        <v>6</v>
      </c>
      <c r="Q145" s="16" t="s">
        <v>6</v>
      </c>
      <c r="R145" s="17" t="s">
        <v>6</v>
      </c>
      <c r="S145" s="18"/>
      <c r="T145" s="66" t="s">
        <v>33</v>
      </c>
      <c r="U145" s="64" t="s">
        <v>6</v>
      </c>
      <c r="V145" s="19"/>
      <c r="W145" s="64"/>
      <c r="X145" s="19"/>
      <c r="Y145" s="64"/>
      <c r="Z145" s="19" t="s">
        <v>6</v>
      </c>
      <c r="AA145" s="80" t="s">
        <v>6</v>
      </c>
      <c r="AB145" s="80" t="s">
        <v>6</v>
      </c>
      <c r="AC145" s="80" t="s">
        <v>6</v>
      </c>
      <c r="AD145" s="108" t="s">
        <v>6</v>
      </c>
      <c r="AE145" s="109" t="s">
        <v>6</v>
      </c>
      <c r="AF145" s="110" t="s">
        <v>6</v>
      </c>
    </row>
    <row r="146" spans="1:32" s="9" customFormat="1" ht="51.75" thickBot="1" x14ac:dyDescent="0.25">
      <c r="A146" s="80"/>
      <c r="B146" s="81" t="s">
        <v>7</v>
      </c>
      <c r="C146" s="82" t="s">
        <v>8</v>
      </c>
      <c r="D146" s="79" t="s">
        <v>9</v>
      </c>
      <c r="E146" s="22" t="s">
        <v>30</v>
      </c>
      <c r="F146" s="81" t="s">
        <v>10</v>
      </c>
      <c r="G146" s="21" t="s">
        <v>11</v>
      </c>
      <c r="H146" s="21" t="s">
        <v>12</v>
      </c>
      <c r="I146" s="83" t="s">
        <v>13</v>
      </c>
      <c r="J146" s="21" t="s">
        <v>11</v>
      </c>
      <c r="K146" s="21" t="s">
        <v>12</v>
      </c>
      <c r="L146" s="79" t="s">
        <v>14</v>
      </c>
      <c r="M146" s="21" t="s">
        <v>11</v>
      </c>
      <c r="N146" s="21" t="s">
        <v>12</v>
      </c>
      <c r="O146" s="79" t="s">
        <v>15</v>
      </c>
      <c r="P146" s="21" t="s">
        <v>16</v>
      </c>
      <c r="Q146" s="21" t="s">
        <v>12</v>
      </c>
      <c r="R146" s="21" t="s">
        <v>12</v>
      </c>
      <c r="S146" s="22" t="s">
        <v>34</v>
      </c>
      <c r="T146" s="23" t="s">
        <v>35</v>
      </c>
      <c r="U146" s="65" t="s">
        <v>12</v>
      </c>
      <c r="V146" s="23" t="s">
        <v>21</v>
      </c>
      <c r="W146" s="65" t="s">
        <v>22</v>
      </c>
      <c r="X146" s="23" t="s">
        <v>21</v>
      </c>
      <c r="Y146" s="65" t="s">
        <v>12</v>
      </c>
      <c r="Z146" s="23" t="s">
        <v>12</v>
      </c>
      <c r="AA146" s="107" t="s">
        <v>94</v>
      </c>
      <c r="AB146" s="107" t="s">
        <v>95</v>
      </c>
      <c r="AC146" s="107" t="s">
        <v>96</v>
      </c>
      <c r="AD146" s="111" t="s">
        <v>94</v>
      </c>
      <c r="AE146" s="111" t="s">
        <v>95</v>
      </c>
      <c r="AF146" s="111" t="s">
        <v>96</v>
      </c>
    </row>
    <row r="147" spans="1:32" s="29" customFormat="1" x14ac:dyDescent="0.2">
      <c r="A147" s="26"/>
      <c r="B147" s="38">
        <v>150</v>
      </c>
      <c r="C147" s="76">
        <v>0.16</v>
      </c>
      <c r="D147" s="27">
        <v>0.76</v>
      </c>
      <c r="E147" s="42">
        <v>6.06</v>
      </c>
      <c r="F147" s="48">
        <v>4.6055999999999999</v>
      </c>
      <c r="G147" s="28">
        <v>3.14</v>
      </c>
      <c r="H147" s="49">
        <v>14.461584</v>
      </c>
      <c r="I147" s="43">
        <v>0.25832704000000001</v>
      </c>
      <c r="J147" s="28">
        <v>19.55</v>
      </c>
      <c r="K147" s="54">
        <v>5.0502936320000007</v>
      </c>
      <c r="L147" s="45">
        <v>4.3271769600000001</v>
      </c>
      <c r="M147" s="46">
        <v>2.23</v>
      </c>
      <c r="N147" s="47">
        <v>9.6496046207999999</v>
      </c>
      <c r="O147" s="43">
        <v>12.12</v>
      </c>
      <c r="P147" s="28">
        <v>5.67</v>
      </c>
      <c r="Q147" s="54">
        <v>68.720399999999998</v>
      </c>
      <c r="R147" s="59">
        <v>29.161482252799999</v>
      </c>
      <c r="S147" s="62">
        <v>0.27842303999999984</v>
      </c>
      <c r="T147" s="69">
        <v>1.479261611519999</v>
      </c>
      <c r="U147" s="62">
        <v>99.361143864319999</v>
      </c>
      <c r="V147" s="60">
        <v>9.8699999999999992</v>
      </c>
      <c r="W147" s="67">
        <v>815</v>
      </c>
      <c r="X147" s="69">
        <v>20.375</v>
      </c>
      <c r="Y147" s="67">
        <v>129.60614386432002</v>
      </c>
      <c r="Z147" s="72">
        <f t="shared" ref="Z147:Z159" si="28">Y147*1.1</f>
        <v>142.56675825075203</v>
      </c>
      <c r="AA147" s="115">
        <v>73</v>
      </c>
      <c r="AB147" s="115">
        <v>72</v>
      </c>
      <c r="AC147" s="115">
        <v>15</v>
      </c>
      <c r="AD147" s="112">
        <f t="shared" ref="AD147:AD159" si="29">(Z147+AA147)*$AG$7</f>
        <v>215.56675825075203</v>
      </c>
      <c r="AE147" s="112">
        <f t="shared" ref="AE147:AE159" si="30">(Z147+AB147)*$AG$7</f>
        <v>214.56675825075203</v>
      </c>
      <c r="AF147" s="112">
        <f t="shared" ref="AF147:AF159" si="31">(Z147+AC147)*$AG$7</f>
        <v>157.56675825075203</v>
      </c>
    </row>
    <row r="148" spans="1:32" s="29" customFormat="1" x14ac:dyDescent="0.2">
      <c r="A148" s="26"/>
      <c r="B148" s="38">
        <v>200</v>
      </c>
      <c r="C148" s="76">
        <v>0.2</v>
      </c>
      <c r="D148" s="27">
        <v>0.8</v>
      </c>
      <c r="E148" s="42">
        <v>6.1</v>
      </c>
      <c r="F148" s="48">
        <v>4.88</v>
      </c>
      <c r="G148" s="28">
        <v>3.14</v>
      </c>
      <c r="H148" s="49">
        <v>15.3232</v>
      </c>
      <c r="I148" s="43">
        <v>0.29488000000000003</v>
      </c>
      <c r="J148" s="28">
        <v>19.55</v>
      </c>
      <c r="K148" s="54">
        <v>5.7649040000000005</v>
      </c>
      <c r="L148" s="52">
        <v>4.5537200000000002</v>
      </c>
      <c r="M148" s="28">
        <v>2.23</v>
      </c>
      <c r="N148" s="49">
        <v>10.1547956</v>
      </c>
      <c r="O148" s="43">
        <v>12.2</v>
      </c>
      <c r="P148" s="28">
        <v>5.67</v>
      </c>
      <c r="Q148" s="54">
        <v>69.173999999999992</v>
      </c>
      <c r="R148" s="60">
        <v>31.242899600000001</v>
      </c>
      <c r="S148" s="62">
        <v>0.32627999999999968</v>
      </c>
      <c r="T148" s="69">
        <v>1.7335256399999983</v>
      </c>
      <c r="U148" s="62">
        <v>102.15042523999999</v>
      </c>
      <c r="V148" s="60">
        <v>11.9</v>
      </c>
      <c r="W148" s="67">
        <v>815</v>
      </c>
      <c r="X148" s="69">
        <v>20.375</v>
      </c>
      <c r="Y148" s="67">
        <v>134.42542523999998</v>
      </c>
      <c r="Z148" s="72">
        <f t="shared" si="28"/>
        <v>147.86796776399999</v>
      </c>
      <c r="AA148" s="116">
        <v>82</v>
      </c>
      <c r="AB148" s="116">
        <v>81</v>
      </c>
      <c r="AC148" s="116">
        <v>17</v>
      </c>
      <c r="AD148" s="113">
        <f t="shared" si="29"/>
        <v>229.86796776399999</v>
      </c>
      <c r="AE148" s="113">
        <f t="shared" si="30"/>
        <v>228.86796776399999</v>
      </c>
      <c r="AF148" s="113">
        <f t="shared" si="31"/>
        <v>164.86796776399999</v>
      </c>
    </row>
    <row r="149" spans="1:32" s="29" customFormat="1" x14ac:dyDescent="0.2">
      <c r="A149" s="26"/>
      <c r="B149" s="38">
        <v>250</v>
      </c>
      <c r="C149" s="76">
        <v>0.25</v>
      </c>
      <c r="D149" s="27">
        <v>0.85</v>
      </c>
      <c r="E149" s="42">
        <v>6.1499999999999995</v>
      </c>
      <c r="F149" s="48">
        <v>5.2274999999999991</v>
      </c>
      <c r="G149" s="28">
        <v>3.14</v>
      </c>
      <c r="H149" s="49">
        <v>16.414349999999999</v>
      </c>
      <c r="I149" s="43">
        <v>0.340796875</v>
      </c>
      <c r="J149" s="28">
        <v>19.55</v>
      </c>
      <c r="K149" s="54">
        <v>6.6625789062500003</v>
      </c>
      <c r="L149" s="52">
        <v>4.8376406249999997</v>
      </c>
      <c r="M149" s="28">
        <v>2.23</v>
      </c>
      <c r="N149" s="49">
        <v>10.787938593749999</v>
      </c>
      <c r="O149" s="43">
        <v>12.299999999999999</v>
      </c>
      <c r="P149" s="28">
        <v>5.67</v>
      </c>
      <c r="Q149" s="54">
        <v>69.741</v>
      </c>
      <c r="R149" s="60">
        <v>33.864867500000003</v>
      </c>
      <c r="S149" s="62">
        <v>0.38985937499999945</v>
      </c>
      <c r="T149" s="69">
        <v>2.0713228593749973</v>
      </c>
      <c r="U149" s="62">
        <v>105.677190359375</v>
      </c>
      <c r="V149" s="60">
        <v>17</v>
      </c>
      <c r="W149" s="67">
        <v>815</v>
      </c>
      <c r="X149" s="69">
        <v>20.375</v>
      </c>
      <c r="Y149" s="67">
        <v>143.052190359375</v>
      </c>
      <c r="Z149" s="72">
        <f t="shared" si="28"/>
        <v>157.35740939531252</v>
      </c>
      <c r="AA149" s="116">
        <v>82</v>
      </c>
      <c r="AB149" s="116">
        <v>81</v>
      </c>
      <c r="AC149" s="116">
        <v>17</v>
      </c>
      <c r="AD149" s="113">
        <f t="shared" si="29"/>
        <v>239.35740939531252</v>
      </c>
      <c r="AE149" s="113">
        <f t="shared" si="30"/>
        <v>238.35740939531252</v>
      </c>
      <c r="AF149" s="113">
        <f t="shared" si="31"/>
        <v>174.35740939531252</v>
      </c>
    </row>
    <row r="150" spans="1:32" s="29" customFormat="1" x14ac:dyDescent="0.2">
      <c r="A150" s="26"/>
      <c r="B150" s="38">
        <v>300</v>
      </c>
      <c r="C150" s="76">
        <v>0.315</v>
      </c>
      <c r="D150" s="27">
        <v>0.91500000000000004</v>
      </c>
      <c r="E150" s="42">
        <v>6.2149999999999999</v>
      </c>
      <c r="F150" s="48">
        <v>5.686725</v>
      </c>
      <c r="G150" s="28">
        <v>3.14</v>
      </c>
      <c r="H150" s="49">
        <v>17.856316500000002</v>
      </c>
      <c r="I150" s="43">
        <v>0.39995416312499998</v>
      </c>
      <c r="J150" s="28">
        <v>19.55</v>
      </c>
      <c r="K150" s="54">
        <v>7.8191038890937499</v>
      </c>
      <c r="L150" s="52">
        <v>5.2088792118749998</v>
      </c>
      <c r="M150" s="28">
        <v>2.23</v>
      </c>
      <c r="N150" s="49">
        <v>11.615800642481249</v>
      </c>
      <c r="O150" s="43">
        <v>12.43</v>
      </c>
      <c r="P150" s="28">
        <v>5.67</v>
      </c>
      <c r="Q150" s="54">
        <v>70.478099999999998</v>
      </c>
      <c r="R150" s="60">
        <v>37.291221031574999</v>
      </c>
      <c r="S150" s="62">
        <v>0.47784578812500023</v>
      </c>
      <c r="T150" s="69">
        <v>2.5387946723081258</v>
      </c>
      <c r="U150" s="62">
        <v>110.30811570388313</v>
      </c>
      <c r="V150" s="60">
        <v>24.68</v>
      </c>
      <c r="W150" s="67">
        <v>815</v>
      </c>
      <c r="X150" s="69">
        <v>20.375</v>
      </c>
      <c r="Y150" s="67">
        <v>155.36311570388312</v>
      </c>
      <c r="Z150" s="72">
        <f t="shared" si="28"/>
        <v>170.89942727427146</v>
      </c>
      <c r="AA150" s="116">
        <v>91</v>
      </c>
      <c r="AB150" s="116">
        <v>90</v>
      </c>
      <c r="AC150" s="116">
        <v>19</v>
      </c>
      <c r="AD150" s="113">
        <f t="shared" si="29"/>
        <v>261.89942727427149</v>
      </c>
      <c r="AE150" s="113">
        <f t="shared" si="30"/>
        <v>260.89942727427149</v>
      </c>
      <c r="AF150" s="113">
        <f t="shared" si="31"/>
        <v>189.89942727427146</v>
      </c>
    </row>
    <row r="151" spans="1:32" s="29" customFormat="1" x14ac:dyDescent="0.2">
      <c r="A151" s="26"/>
      <c r="B151" s="38">
        <v>355</v>
      </c>
      <c r="C151" s="76">
        <v>0.35499999999999998</v>
      </c>
      <c r="D151" s="27">
        <v>0.95499999999999996</v>
      </c>
      <c r="E151" s="42">
        <v>6.2549999999999999</v>
      </c>
      <c r="F151" s="48">
        <v>5.9735249999999995</v>
      </c>
      <c r="G151" s="28">
        <v>3.14</v>
      </c>
      <c r="H151" s="49">
        <v>18.7568685</v>
      </c>
      <c r="I151" s="43">
        <v>0.43554720812499992</v>
      </c>
      <c r="J151" s="28">
        <v>19.55</v>
      </c>
      <c r="K151" s="54">
        <v>8.5149479188437489</v>
      </c>
      <c r="L151" s="52">
        <v>5.4390481668749997</v>
      </c>
      <c r="M151" s="28">
        <v>2.23</v>
      </c>
      <c r="N151" s="49">
        <v>12.129077412131249</v>
      </c>
      <c r="O151" s="43">
        <v>12.51</v>
      </c>
      <c r="P151" s="28">
        <v>5.67</v>
      </c>
      <c r="Q151" s="54">
        <v>70.931699999999992</v>
      </c>
      <c r="R151" s="60">
        <v>39.400893830974994</v>
      </c>
      <c r="S151" s="62">
        <v>0.53447683312499983</v>
      </c>
      <c r="T151" s="69">
        <v>2.8396754143931235</v>
      </c>
      <c r="U151" s="62">
        <v>113.17226924536811</v>
      </c>
      <c r="V151" s="60">
        <v>31.35</v>
      </c>
      <c r="W151" s="67">
        <v>815</v>
      </c>
      <c r="X151" s="69">
        <v>20.375</v>
      </c>
      <c r="Y151" s="67">
        <v>164.89726924536811</v>
      </c>
      <c r="Z151" s="72">
        <f t="shared" si="28"/>
        <v>181.38699616990493</v>
      </c>
      <c r="AA151" s="116">
        <v>91</v>
      </c>
      <c r="AB151" s="116">
        <v>90</v>
      </c>
      <c r="AC151" s="116">
        <v>19</v>
      </c>
      <c r="AD151" s="113">
        <f t="shared" si="29"/>
        <v>272.38699616990493</v>
      </c>
      <c r="AE151" s="113">
        <f t="shared" si="30"/>
        <v>271.38699616990493</v>
      </c>
      <c r="AF151" s="113">
        <f t="shared" si="31"/>
        <v>200.38699616990493</v>
      </c>
    </row>
    <row r="152" spans="1:32" s="29" customFormat="1" x14ac:dyDescent="0.2">
      <c r="A152" s="26"/>
      <c r="B152" s="38">
        <v>400</v>
      </c>
      <c r="C152" s="76">
        <v>0.4</v>
      </c>
      <c r="D152" s="27">
        <v>1</v>
      </c>
      <c r="E152" s="42">
        <v>6.3</v>
      </c>
      <c r="F152" s="48">
        <v>6.3</v>
      </c>
      <c r="G152" s="28">
        <v>3.14</v>
      </c>
      <c r="H152" s="49">
        <v>19.782</v>
      </c>
      <c r="I152" s="43">
        <v>0.47440000000000004</v>
      </c>
      <c r="J152" s="28">
        <v>19.55</v>
      </c>
      <c r="K152" s="54">
        <v>9.2745200000000008</v>
      </c>
      <c r="L152" s="52">
        <v>5.6999999999999993</v>
      </c>
      <c r="M152" s="28">
        <v>2.23</v>
      </c>
      <c r="N152" s="49">
        <v>12.710999999999999</v>
      </c>
      <c r="O152" s="43">
        <v>12.6</v>
      </c>
      <c r="P152" s="28">
        <v>5.67</v>
      </c>
      <c r="Q152" s="54">
        <v>71.441999999999993</v>
      </c>
      <c r="R152" s="60">
        <v>41.767519999999998</v>
      </c>
      <c r="S152" s="62">
        <v>0.60000000000000053</v>
      </c>
      <c r="T152" s="69">
        <v>3.1878000000000024</v>
      </c>
      <c r="U152" s="62">
        <v>116.39731999999999</v>
      </c>
      <c r="V152" s="60">
        <v>38.44</v>
      </c>
      <c r="W152" s="67">
        <v>815</v>
      </c>
      <c r="X152" s="69">
        <v>20.375</v>
      </c>
      <c r="Y152" s="67">
        <v>175.21231999999998</v>
      </c>
      <c r="Z152" s="72">
        <f t="shared" si="28"/>
        <v>192.733552</v>
      </c>
      <c r="AA152" s="116">
        <v>105</v>
      </c>
      <c r="AB152" s="116">
        <v>103</v>
      </c>
      <c r="AC152" s="116">
        <v>22</v>
      </c>
      <c r="AD152" s="113">
        <f t="shared" si="29"/>
        <v>297.73355200000003</v>
      </c>
      <c r="AE152" s="113">
        <f t="shared" si="30"/>
        <v>295.73355200000003</v>
      </c>
      <c r="AF152" s="113">
        <f t="shared" si="31"/>
        <v>214.733552</v>
      </c>
    </row>
    <row r="153" spans="1:32" s="29" customFormat="1" x14ac:dyDescent="0.2">
      <c r="A153" s="26"/>
      <c r="B153" s="38">
        <v>500</v>
      </c>
      <c r="C153" s="76">
        <v>0.5</v>
      </c>
      <c r="D153" s="27">
        <v>1.1000000000000001</v>
      </c>
      <c r="E153" s="42">
        <v>6.3999999999999995</v>
      </c>
      <c r="F153" s="48">
        <v>7.04</v>
      </c>
      <c r="G153" s="28">
        <v>3.14</v>
      </c>
      <c r="H153" s="49">
        <v>22.105600000000003</v>
      </c>
      <c r="I153" s="43">
        <v>0.55412499999999998</v>
      </c>
      <c r="J153" s="28">
        <v>19.55</v>
      </c>
      <c r="K153" s="54">
        <v>10.83314375</v>
      </c>
      <c r="L153" s="52">
        <v>6.289625</v>
      </c>
      <c r="M153" s="28">
        <v>2.23</v>
      </c>
      <c r="N153" s="49">
        <v>14.025863749999999</v>
      </c>
      <c r="O153" s="43">
        <v>12.799999999999999</v>
      </c>
      <c r="P153" s="28">
        <v>5.67</v>
      </c>
      <c r="Q153" s="54">
        <v>72.575999999999993</v>
      </c>
      <c r="R153" s="60">
        <v>46.9646075</v>
      </c>
      <c r="S153" s="62">
        <v>0.75037500000000001</v>
      </c>
      <c r="T153" s="69">
        <v>3.9867423749999999</v>
      </c>
      <c r="U153" s="62">
        <v>123.527349875</v>
      </c>
      <c r="V153" s="60">
        <v>70.239999999999995</v>
      </c>
      <c r="W153" s="67">
        <v>815</v>
      </c>
      <c r="X153" s="69">
        <v>20.375</v>
      </c>
      <c r="Y153" s="67">
        <v>214.14234987499998</v>
      </c>
      <c r="Z153" s="72">
        <f t="shared" si="28"/>
        <v>235.55658486249999</v>
      </c>
      <c r="AA153" s="116">
        <v>105</v>
      </c>
      <c r="AB153" s="116">
        <v>103</v>
      </c>
      <c r="AC153" s="116">
        <v>22</v>
      </c>
      <c r="AD153" s="113">
        <f t="shared" si="29"/>
        <v>340.55658486250002</v>
      </c>
      <c r="AE153" s="113">
        <f t="shared" si="30"/>
        <v>338.55658486250002</v>
      </c>
      <c r="AF153" s="113">
        <f t="shared" si="31"/>
        <v>257.55658486250002</v>
      </c>
    </row>
    <row r="154" spans="1:32" s="33" customFormat="1" ht="13.5" thickBot="1" x14ac:dyDescent="0.25">
      <c r="A154" s="30"/>
      <c r="B154" s="39">
        <v>600</v>
      </c>
      <c r="C154" s="77">
        <v>0.6</v>
      </c>
      <c r="D154" s="31">
        <v>1.2</v>
      </c>
      <c r="E154" s="42">
        <v>6.4999999999999991</v>
      </c>
      <c r="F154" s="50">
        <v>7.7999999999999989</v>
      </c>
      <c r="G154" s="32">
        <v>3.14</v>
      </c>
      <c r="H154" s="51">
        <v>24.491999999999997</v>
      </c>
      <c r="I154" s="44">
        <v>0.6208800000000001</v>
      </c>
      <c r="J154" s="32">
        <v>19.55</v>
      </c>
      <c r="K154" s="55">
        <v>12.138204000000002</v>
      </c>
      <c r="L154" s="58">
        <v>6.8965199999999989</v>
      </c>
      <c r="M154" s="32">
        <v>2.23</v>
      </c>
      <c r="N154" s="51">
        <v>15.379239599999998</v>
      </c>
      <c r="O154" s="44">
        <v>12.999999999999998</v>
      </c>
      <c r="P154" s="32">
        <v>5.67</v>
      </c>
      <c r="Q154" s="55">
        <v>73.709999999999994</v>
      </c>
      <c r="R154" s="61">
        <v>52.009443599999997</v>
      </c>
      <c r="S154" s="63">
        <v>0.90348000000000006</v>
      </c>
      <c r="T154" s="61">
        <v>4.8001892399999999</v>
      </c>
      <c r="U154" s="63">
        <v>130.51963283999999</v>
      </c>
      <c r="V154" s="61">
        <v>87.89</v>
      </c>
      <c r="W154" s="68">
        <v>815</v>
      </c>
      <c r="X154" s="70">
        <v>20.375</v>
      </c>
      <c r="Y154" s="68">
        <v>238.78463283999997</v>
      </c>
      <c r="Z154" s="73">
        <f t="shared" si="28"/>
        <v>262.66309612399999</v>
      </c>
      <c r="AA154" s="116">
        <v>123</v>
      </c>
      <c r="AB154" s="116">
        <v>121</v>
      </c>
      <c r="AC154" s="116">
        <v>26</v>
      </c>
      <c r="AD154" s="113">
        <f t="shared" si="29"/>
        <v>385.66309612399999</v>
      </c>
      <c r="AE154" s="113">
        <f t="shared" si="30"/>
        <v>383.66309612399999</v>
      </c>
      <c r="AF154" s="113">
        <f t="shared" si="31"/>
        <v>288.66309612399999</v>
      </c>
    </row>
    <row r="155" spans="1:32" s="29" customFormat="1" x14ac:dyDescent="0.2">
      <c r="A155" s="26"/>
      <c r="B155" s="40">
        <v>700</v>
      </c>
      <c r="C155" s="78">
        <v>0.7</v>
      </c>
      <c r="D155" s="34">
        <v>1.2999999999999998</v>
      </c>
      <c r="E155" s="42">
        <v>6.6</v>
      </c>
      <c r="F155" s="52">
        <v>8.5799999999999983</v>
      </c>
      <c r="G155" s="28">
        <v>3.14</v>
      </c>
      <c r="H155" s="49">
        <v>26.941199999999995</v>
      </c>
      <c r="I155" s="43">
        <v>0.66995499999999986</v>
      </c>
      <c r="J155" s="28">
        <v>19.55</v>
      </c>
      <c r="K155" s="54">
        <v>13.097620249999999</v>
      </c>
      <c r="L155" s="52">
        <v>7.5253949999999987</v>
      </c>
      <c r="M155" s="28">
        <v>2.23</v>
      </c>
      <c r="N155" s="49">
        <v>16.781630849999996</v>
      </c>
      <c r="O155" s="43">
        <v>13.2</v>
      </c>
      <c r="P155" s="28">
        <v>5.67</v>
      </c>
      <c r="Q155" s="54">
        <v>74.843999999999994</v>
      </c>
      <c r="R155" s="60">
        <v>56.820451099999985</v>
      </c>
      <c r="S155" s="62">
        <v>1.0546049999999996</v>
      </c>
      <c r="T155" s="60">
        <v>5.6031163649999973</v>
      </c>
      <c r="U155" s="62">
        <v>137.26756746499998</v>
      </c>
      <c r="V155" s="60">
        <v>114.2</v>
      </c>
      <c r="W155" s="67">
        <v>1047</v>
      </c>
      <c r="X155" s="69">
        <v>26.175000000000001</v>
      </c>
      <c r="Y155" s="67">
        <v>277.64256746500001</v>
      </c>
      <c r="Z155" s="72">
        <f t="shared" si="28"/>
        <v>305.40682421150007</v>
      </c>
      <c r="AA155" s="116">
        <v>123</v>
      </c>
      <c r="AB155" s="116">
        <v>121</v>
      </c>
      <c r="AC155" s="116">
        <v>26</v>
      </c>
      <c r="AD155" s="113">
        <f t="shared" si="29"/>
        <v>428.40682421150007</v>
      </c>
      <c r="AE155" s="113">
        <f t="shared" si="30"/>
        <v>426.40682421150007</v>
      </c>
      <c r="AF155" s="113">
        <f t="shared" si="31"/>
        <v>331.40682421150007</v>
      </c>
    </row>
    <row r="156" spans="1:32" s="29" customFormat="1" x14ac:dyDescent="0.2">
      <c r="A156" s="26"/>
      <c r="B156" s="38">
        <v>800</v>
      </c>
      <c r="C156" s="76">
        <v>0.8</v>
      </c>
      <c r="D156" s="27">
        <v>1.4</v>
      </c>
      <c r="E156" s="42">
        <v>6.6999999999999993</v>
      </c>
      <c r="F156" s="48">
        <v>9.379999999999999</v>
      </c>
      <c r="G156" s="28">
        <v>3.14</v>
      </c>
      <c r="H156" s="49">
        <v>29.453199999999999</v>
      </c>
      <c r="I156" s="43">
        <v>0.69663999999999981</v>
      </c>
      <c r="J156" s="28">
        <v>19.55</v>
      </c>
      <c r="K156" s="54">
        <v>13.619311999999997</v>
      </c>
      <c r="L156" s="52">
        <v>8.1809599999999989</v>
      </c>
      <c r="M156" s="28">
        <v>2.23</v>
      </c>
      <c r="N156" s="49">
        <v>18.243540799999998</v>
      </c>
      <c r="O156" s="43">
        <v>13.399999999999999</v>
      </c>
      <c r="P156" s="28">
        <v>5.67</v>
      </c>
      <c r="Q156" s="54">
        <v>75.977999999999994</v>
      </c>
      <c r="R156" s="60">
        <v>61.316052799999994</v>
      </c>
      <c r="S156" s="62">
        <v>1.1990400000000001</v>
      </c>
      <c r="T156" s="60">
        <v>6.3704995200000001</v>
      </c>
      <c r="U156" s="62">
        <v>143.66455231999998</v>
      </c>
      <c r="V156" s="60">
        <v>140.9</v>
      </c>
      <c r="W156" s="67">
        <v>1047</v>
      </c>
      <c r="X156" s="69">
        <v>26.175000000000001</v>
      </c>
      <c r="Y156" s="67">
        <v>310.73955231999997</v>
      </c>
      <c r="Z156" s="72">
        <f t="shared" si="28"/>
        <v>341.81350755199998</v>
      </c>
      <c r="AA156" s="116">
        <v>145</v>
      </c>
      <c r="AB156" s="116">
        <v>143</v>
      </c>
      <c r="AC156" s="116">
        <v>30</v>
      </c>
      <c r="AD156" s="113">
        <f t="shared" si="29"/>
        <v>486.81350755199998</v>
      </c>
      <c r="AE156" s="113">
        <f t="shared" si="30"/>
        <v>484.81350755199998</v>
      </c>
      <c r="AF156" s="113">
        <f t="shared" si="31"/>
        <v>371.81350755199998</v>
      </c>
    </row>
    <row r="157" spans="1:32" s="29" customFormat="1" x14ac:dyDescent="0.2">
      <c r="A157" s="26"/>
      <c r="B157" s="38">
        <v>900</v>
      </c>
      <c r="C157" s="76">
        <v>0.9</v>
      </c>
      <c r="D157" s="27">
        <v>1.5</v>
      </c>
      <c r="E157" s="42">
        <v>6.8</v>
      </c>
      <c r="F157" s="48">
        <v>10.199999999999999</v>
      </c>
      <c r="G157" s="28">
        <v>3.14</v>
      </c>
      <c r="H157" s="49">
        <v>32.027999999999999</v>
      </c>
      <c r="I157" s="43">
        <v>0.69622500000000009</v>
      </c>
      <c r="J157" s="28">
        <v>19.55</v>
      </c>
      <c r="K157" s="54">
        <v>13.611198750000002</v>
      </c>
      <c r="L157" s="52">
        <v>8.8679249999999996</v>
      </c>
      <c r="M157" s="28">
        <v>2.23</v>
      </c>
      <c r="N157" s="49">
        <v>19.775472749999999</v>
      </c>
      <c r="O157" s="43">
        <v>13.6</v>
      </c>
      <c r="P157" s="28">
        <v>5.67</v>
      </c>
      <c r="Q157" s="54">
        <v>77.111999999999995</v>
      </c>
      <c r="R157" s="60">
        <v>65.414671499999997</v>
      </c>
      <c r="S157" s="62">
        <v>1.3320749999999997</v>
      </c>
      <c r="T157" s="60">
        <v>7.0773144749999979</v>
      </c>
      <c r="U157" s="62">
        <v>149.603985975</v>
      </c>
      <c r="V157" s="60">
        <v>149</v>
      </c>
      <c r="W157" s="67">
        <v>1047</v>
      </c>
      <c r="X157" s="69">
        <v>26.175000000000001</v>
      </c>
      <c r="Y157" s="67">
        <v>324.77898597500001</v>
      </c>
      <c r="Z157" s="72">
        <f t="shared" si="28"/>
        <v>357.25688457250004</v>
      </c>
      <c r="AA157" s="116">
        <v>145</v>
      </c>
      <c r="AB157" s="116">
        <v>143</v>
      </c>
      <c r="AC157" s="116">
        <v>30</v>
      </c>
      <c r="AD157" s="113">
        <f t="shared" si="29"/>
        <v>502.25688457250004</v>
      </c>
      <c r="AE157" s="113">
        <f t="shared" si="30"/>
        <v>500.25688457250004</v>
      </c>
      <c r="AF157" s="113">
        <f t="shared" si="31"/>
        <v>387.25688457250004</v>
      </c>
    </row>
    <row r="158" spans="1:32" s="29" customFormat="1" x14ac:dyDescent="0.2">
      <c r="A158" s="26"/>
      <c r="B158" s="38">
        <v>1000</v>
      </c>
      <c r="C158" s="76">
        <v>1</v>
      </c>
      <c r="D158" s="27">
        <v>1.6</v>
      </c>
      <c r="E158" s="42">
        <v>6.8999999999999995</v>
      </c>
      <c r="F158" s="48">
        <v>11.04</v>
      </c>
      <c r="G158" s="28">
        <v>3.14</v>
      </c>
      <c r="H158" s="49">
        <v>34.665599999999998</v>
      </c>
      <c r="I158" s="43">
        <v>0.66399999999999992</v>
      </c>
      <c r="J158" s="28">
        <v>19.55</v>
      </c>
      <c r="K158" s="54">
        <v>12.981199999999999</v>
      </c>
      <c r="L158" s="52">
        <v>9.5909999999999993</v>
      </c>
      <c r="M158" s="28">
        <v>2.23</v>
      </c>
      <c r="N158" s="49">
        <v>21.387929999999997</v>
      </c>
      <c r="O158" s="43">
        <v>13.799999999999999</v>
      </c>
      <c r="P158" s="28">
        <v>5.67</v>
      </c>
      <c r="Q158" s="54">
        <v>78.245999999999995</v>
      </c>
      <c r="R158" s="60">
        <v>69.034729999999996</v>
      </c>
      <c r="S158" s="62">
        <v>1.4489999999999998</v>
      </c>
      <c r="T158" s="60">
        <v>7.6985369999999991</v>
      </c>
      <c r="U158" s="62">
        <v>154.97926699999999</v>
      </c>
      <c r="V158" s="60">
        <v>166.5</v>
      </c>
      <c r="W158" s="67">
        <v>1047</v>
      </c>
      <c r="X158" s="69">
        <v>26.175000000000001</v>
      </c>
      <c r="Y158" s="67">
        <v>347.654267</v>
      </c>
      <c r="Z158" s="72">
        <f t="shared" si="28"/>
        <v>382.41969370000004</v>
      </c>
      <c r="AA158" s="116">
        <v>171</v>
      </c>
      <c r="AB158" s="116">
        <v>169</v>
      </c>
      <c r="AC158" s="116">
        <v>34</v>
      </c>
      <c r="AD158" s="113">
        <f t="shared" si="29"/>
        <v>553.41969370000004</v>
      </c>
      <c r="AE158" s="113">
        <f t="shared" si="30"/>
        <v>551.41969370000004</v>
      </c>
      <c r="AF158" s="113">
        <f t="shared" si="31"/>
        <v>416.41969370000004</v>
      </c>
    </row>
    <row r="159" spans="1:32" s="29" customFormat="1" ht="13.5" thickBot="1" x14ac:dyDescent="0.25">
      <c r="A159" s="26"/>
      <c r="B159" s="39">
        <v>1250</v>
      </c>
      <c r="C159" s="77">
        <v>1.25</v>
      </c>
      <c r="D159" s="31">
        <v>1.85</v>
      </c>
      <c r="E159" s="75">
        <v>7.1499999999999995</v>
      </c>
      <c r="F159" s="50">
        <v>13.227499999999999</v>
      </c>
      <c r="G159" s="32">
        <v>3.14</v>
      </c>
      <c r="H159" s="51">
        <v>41.534349999999996</v>
      </c>
      <c r="I159" s="44">
        <v>0.41335937499999992</v>
      </c>
      <c r="J159" s="32">
        <v>19.55</v>
      </c>
      <c r="K159" s="55">
        <v>8.081175781249998</v>
      </c>
      <c r="L159" s="58">
        <v>11.587578124999999</v>
      </c>
      <c r="M159" s="32">
        <v>2.23</v>
      </c>
      <c r="N159" s="51">
        <v>25.840299218749998</v>
      </c>
      <c r="O159" s="44">
        <v>14.299999999999999</v>
      </c>
      <c r="P159" s="32">
        <v>5.67</v>
      </c>
      <c r="Q159" s="55">
        <v>81.080999999999989</v>
      </c>
      <c r="R159" s="61">
        <v>75.45582499999999</v>
      </c>
      <c r="S159" s="63">
        <v>1.6399218750000006</v>
      </c>
      <c r="T159" s="61">
        <v>8.712904921875003</v>
      </c>
      <c r="U159" s="63">
        <v>165.24972992187497</v>
      </c>
      <c r="V159" s="61">
        <v>203.43</v>
      </c>
      <c r="W159" s="68">
        <v>1047</v>
      </c>
      <c r="X159" s="71">
        <v>26.175000000000001</v>
      </c>
      <c r="Y159" s="68">
        <v>394.85472992187499</v>
      </c>
      <c r="Z159" s="74">
        <f t="shared" si="28"/>
        <v>434.3402029140625</v>
      </c>
      <c r="AA159" s="117">
        <v>171</v>
      </c>
      <c r="AB159" s="117">
        <v>169</v>
      </c>
      <c r="AC159" s="117">
        <v>34</v>
      </c>
      <c r="AD159" s="114">
        <f t="shared" si="29"/>
        <v>605.3402029140625</v>
      </c>
      <c r="AE159" s="114">
        <f t="shared" si="30"/>
        <v>603.3402029140625</v>
      </c>
      <c r="AF159" s="114">
        <f t="shared" si="31"/>
        <v>468.3402029140625</v>
      </c>
    </row>
  </sheetData>
  <mergeCells count="58">
    <mergeCell ref="AA11:AC11"/>
    <mergeCell ref="AD11:AF11"/>
    <mergeCell ref="A1:E1"/>
    <mergeCell ref="F11:H11"/>
    <mergeCell ref="O11:Q11"/>
    <mergeCell ref="I11:K11"/>
    <mergeCell ref="L11:N11"/>
    <mergeCell ref="B11:E11"/>
    <mergeCell ref="A4:J4"/>
    <mergeCell ref="AA30:AC30"/>
    <mergeCell ref="AD30:AF30"/>
    <mergeCell ref="B49:E49"/>
    <mergeCell ref="F49:H49"/>
    <mergeCell ref="I49:K49"/>
    <mergeCell ref="L49:N49"/>
    <mergeCell ref="O49:Q49"/>
    <mergeCell ref="AA49:AC49"/>
    <mergeCell ref="AD49:AF49"/>
    <mergeCell ref="B30:E30"/>
    <mergeCell ref="F30:H30"/>
    <mergeCell ref="I30:K30"/>
    <mergeCell ref="L30:N30"/>
    <mergeCell ref="O30:Q30"/>
    <mergeCell ref="AA68:AC68"/>
    <mergeCell ref="AD68:AF68"/>
    <mergeCell ref="B87:E87"/>
    <mergeCell ref="F87:H87"/>
    <mergeCell ref="I87:K87"/>
    <mergeCell ref="L87:N87"/>
    <mergeCell ref="O87:Q87"/>
    <mergeCell ref="AA87:AC87"/>
    <mergeCell ref="AD87:AF87"/>
    <mergeCell ref="B68:E68"/>
    <mergeCell ref="F68:H68"/>
    <mergeCell ref="I68:K68"/>
    <mergeCell ref="L68:N68"/>
    <mergeCell ref="O68:Q68"/>
    <mergeCell ref="AA106:AC106"/>
    <mergeCell ref="AD106:AF106"/>
    <mergeCell ref="B125:E125"/>
    <mergeCell ref="F125:H125"/>
    <mergeCell ref="I125:K125"/>
    <mergeCell ref="L125:N125"/>
    <mergeCell ref="O125:Q125"/>
    <mergeCell ref="AA125:AC125"/>
    <mergeCell ref="AD125:AF125"/>
    <mergeCell ref="B106:E106"/>
    <mergeCell ref="F106:H106"/>
    <mergeCell ref="I106:K106"/>
    <mergeCell ref="L106:N106"/>
    <mergeCell ref="O106:Q106"/>
    <mergeCell ref="AA144:AC144"/>
    <mergeCell ref="AD144:AF144"/>
    <mergeCell ref="B144:E144"/>
    <mergeCell ref="F144:H144"/>
    <mergeCell ref="I144:K144"/>
    <mergeCell ref="L144:N144"/>
    <mergeCell ref="O144:Q144"/>
  </mergeCells>
  <phoneticPr fontId="0" type="noConversion"/>
  <pageMargins left="0.19" right="0.17" top="1" bottom="1" header="0.5" footer="0.5"/>
  <pageSetup paperSize="9" scale="64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6"/>
  <sheetViews>
    <sheetView view="pageBreakPreview" zoomScale="90" zoomScaleNormal="75" zoomScaleSheetLayoutView="90" workbookViewId="0">
      <pane xSplit="5" ySplit="13" topLeftCell="F14" activePane="bottomRight" state="frozen"/>
      <selection pane="topRight" activeCell="F1" sqref="F1"/>
      <selection pane="bottomLeft" activeCell="A14" sqref="A14"/>
      <selection pane="bottomRight" activeCell="G39" sqref="G39:G40"/>
    </sheetView>
  </sheetViews>
  <sheetFormatPr defaultRowHeight="12.75" x14ac:dyDescent="0.2"/>
  <cols>
    <col min="1" max="1" width="3.42578125" style="24" customWidth="1"/>
    <col min="2" max="2" width="7.28515625" style="1" customWidth="1"/>
    <col min="3" max="3" width="7.42578125" style="1" customWidth="1"/>
    <col min="4" max="4" width="7.7109375" style="25" customWidth="1"/>
    <col min="5" max="5" width="8.5703125" style="1" customWidth="1"/>
    <col min="6" max="6" width="6.7109375" style="1" customWidth="1"/>
    <col min="7" max="7" width="7" style="1" customWidth="1"/>
    <col min="8" max="8" width="7.140625" style="1" bestFit="1" customWidth="1"/>
    <col min="9" max="9" width="6" style="1" bestFit="1" customWidth="1"/>
    <col min="10" max="11" width="7.140625" style="1" bestFit="1" customWidth="1"/>
    <col min="12" max="12" width="7.28515625" style="1" bestFit="1" customWidth="1"/>
    <col min="13" max="16" width="6" style="1" bestFit="1" customWidth="1"/>
    <col min="17" max="18" width="8.5703125" style="1" customWidth="1"/>
    <col min="19" max="19" width="9.42578125" style="1" customWidth="1"/>
    <col min="20" max="20" width="11.85546875" style="1" customWidth="1"/>
    <col min="21" max="21" width="10.140625" style="1" customWidth="1"/>
    <col min="22" max="22" width="10.28515625" style="1" customWidth="1"/>
    <col min="23" max="23" width="9.85546875" style="1" customWidth="1"/>
    <col min="24" max="24" width="8.5703125" style="1" customWidth="1"/>
    <col min="25" max="25" width="10.42578125" style="1" customWidth="1"/>
    <col min="26" max="26" width="8.5703125" style="1" customWidth="1"/>
  </cols>
  <sheetData>
    <row r="1" spans="1:32" ht="35.25" customHeight="1" x14ac:dyDescent="0.2">
      <c r="A1" s="1065" t="s">
        <v>26</v>
      </c>
      <c r="B1" s="1065"/>
      <c r="C1" s="1065"/>
      <c r="D1" s="1065"/>
      <c r="E1" s="1065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066" t="s">
        <v>17</v>
      </c>
      <c r="B4" s="1066"/>
      <c r="C4" s="1066"/>
      <c r="D4" s="1066"/>
      <c r="E4" s="1066"/>
      <c r="F4" s="1066"/>
      <c r="G4" s="1066"/>
      <c r="H4" s="1066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1.5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4" customHeight="1" thickBot="1" x14ac:dyDescent="0.25">
      <c r="B11" s="1059" t="s">
        <v>24</v>
      </c>
      <c r="C11" s="1060"/>
      <c r="D11" s="1060"/>
      <c r="E11" s="1061"/>
      <c r="F11" s="1059" t="s">
        <v>1</v>
      </c>
      <c r="G11" s="1060"/>
      <c r="H11" s="1061"/>
      <c r="I11" s="1059" t="s">
        <v>2</v>
      </c>
      <c r="J11" s="1060"/>
      <c r="K11" s="1061"/>
      <c r="L11" s="1059" t="s">
        <v>3</v>
      </c>
      <c r="M11" s="1060"/>
      <c r="N11" s="1061"/>
      <c r="O11" s="1059" t="s">
        <v>4</v>
      </c>
      <c r="P11" s="1060"/>
      <c r="Q11" s="1060"/>
      <c r="R11" s="10" t="s">
        <v>19</v>
      </c>
      <c r="S11" s="10" t="s">
        <v>36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39</v>
      </c>
      <c r="AA11" s="1059" t="s">
        <v>93</v>
      </c>
      <c r="AB11" s="1060"/>
      <c r="AC11" s="1061"/>
      <c r="AD11" s="1062" t="s">
        <v>97</v>
      </c>
      <c r="AE11" s="1063"/>
      <c r="AF11" s="1064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53" t="s">
        <v>6</v>
      </c>
      <c r="L12" s="57"/>
      <c r="M12" s="16" t="s">
        <v>6</v>
      </c>
      <c r="N12" s="16" t="s">
        <v>6</v>
      </c>
      <c r="O12" s="56"/>
      <c r="P12" s="16" t="s">
        <v>6</v>
      </c>
      <c r="Q12" s="53" t="s">
        <v>6</v>
      </c>
      <c r="R12" s="19" t="s">
        <v>6</v>
      </c>
      <c r="S12" s="64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2" t="s">
        <v>12</v>
      </c>
      <c r="L13" s="81" t="s">
        <v>14</v>
      </c>
      <c r="M13" s="21" t="s">
        <v>11</v>
      </c>
      <c r="N13" s="21" t="s">
        <v>12</v>
      </c>
      <c r="O13" s="83" t="s">
        <v>15</v>
      </c>
      <c r="P13" s="21" t="s">
        <v>16</v>
      </c>
      <c r="Q13" s="22" t="s">
        <v>12</v>
      </c>
      <c r="R13" s="23" t="s">
        <v>12</v>
      </c>
      <c r="S13" s="65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1.56</v>
      </c>
      <c r="F14" s="48">
        <v>1.1856</v>
      </c>
      <c r="G14" s="28">
        <v>3.14</v>
      </c>
      <c r="H14" s="49">
        <v>3.7227840000000003</v>
      </c>
      <c r="I14" s="43">
        <v>0.25832704000000001</v>
      </c>
      <c r="J14" s="28">
        <v>19.55</v>
      </c>
      <c r="K14" s="54">
        <v>5.0502936320000007</v>
      </c>
      <c r="L14" s="52">
        <v>0.90717696000000003</v>
      </c>
      <c r="M14" s="28">
        <v>2.23</v>
      </c>
      <c r="N14" s="49">
        <v>2.0230046208000001</v>
      </c>
      <c r="O14" s="43">
        <v>3.12</v>
      </c>
      <c r="P14" s="28">
        <v>5.67</v>
      </c>
      <c r="Q14" s="54">
        <v>17.6904</v>
      </c>
      <c r="R14" s="60">
        <v>10.796082252800002</v>
      </c>
      <c r="S14" s="62">
        <v>0.27842303999999996</v>
      </c>
      <c r="T14" s="60">
        <v>1.4792616115199997</v>
      </c>
      <c r="U14" s="62">
        <v>29.96574386432</v>
      </c>
      <c r="V14" s="60">
        <v>9.8699999999999992</v>
      </c>
      <c r="W14" s="67">
        <v>408</v>
      </c>
      <c r="X14" s="69">
        <v>10.199999999999999</v>
      </c>
      <c r="Y14" s="67">
        <v>50.035743864319997</v>
      </c>
      <c r="Z14" s="72">
        <v>57.5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130.5</v>
      </c>
      <c r="AE14" s="112">
        <f>(Z14+AB14)*$AF$7</f>
        <v>129.5</v>
      </c>
      <c r="AF14" s="112">
        <f>(Z14+AC14)*$AF$7</f>
        <v>72.5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1.6</v>
      </c>
      <c r="F15" s="48">
        <v>1.2800000000000002</v>
      </c>
      <c r="G15" s="28">
        <v>3.14</v>
      </c>
      <c r="H15" s="49">
        <v>4.0192000000000005</v>
      </c>
      <c r="I15" s="43">
        <v>0.29488000000000003</v>
      </c>
      <c r="J15" s="28">
        <v>19.55</v>
      </c>
      <c r="K15" s="54">
        <v>5.7649040000000005</v>
      </c>
      <c r="L15" s="52">
        <v>0.95372000000000023</v>
      </c>
      <c r="M15" s="28">
        <v>2.23</v>
      </c>
      <c r="N15" s="49">
        <v>2.1267956000000003</v>
      </c>
      <c r="O15" s="43">
        <v>3.2</v>
      </c>
      <c r="P15" s="28">
        <v>5.67</v>
      </c>
      <c r="Q15" s="54">
        <v>18.144000000000002</v>
      </c>
      <c r="R15" s="60">
        <v>11.9108996</v>
      </c>
      <c r="S15" s="62">
        <v>0.32628000000000001</v>
      </c>
      <c r="T15" s="60">
        <v>1.7335256399999999</v>
      </c>
      <c r="U15" s="62">
        <v>31.788425240000002</v>
      </c>
      <c r="V15" s="60">
        <v>11.9</v>
      </c>
      <c r="W15" s="67">
        <v>408</v>
      </c>
      <c r="X15" s="69">
        <v>10.199999999999999</v>
      </c>
      <c r="Y15" s="67">
        <v>53.888425240000004</v>
      </c>
      <c r="Z15" s="72">
        <v>62</v>
      </c>
      <c r="AA15" s="116">
        <v>82</v>
      </c>
      <c r="AB15" s="116">
        <v>81</v>
      </c>
      <c r="AC15" s="116">
        <v>17</v>
      </c>
      <c r="AD15" s="113">
        <f t="shared" si="0"/>
        <v>144</v>
      </c>
      <c r="AE15" s="113">
        <f t="shared" ref="AE15:AE26" si="1">(Z15+AB15)*$AF$7</f>
        <v>143</v>
      </c>
      <c r="AF15" s="113">
        <f t="shared" ref="AF15:AF26" si="2">(Z15+AC15)*$AF$7</f>
        <v>79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1.6500000000000001</v>
      </c>
      <c r="F16" s="48">
        <v>1.4025000000000001</v>
      </c>
      <c r="G16" s="28">
        <v>3.14</v>
      </c>
      <c r="H16" s="49">
        <v>4.4038500000000003</v>
      </c>
      <c r="I16" s="43">
        <v>0.340796875</v>
      </c>
      <c r="J16" s="28">
        <v>19.55</v>
      </c>
      <c r="K16" s="54">
        <v>6.6625789062500003</v>
      </c>
      <c r="L16" s="52">
        <v>1.0126406250000002</v>
      </c>
      <c r="M16" s="28">
        <v>2.23</v>
      </c>
      <c r="N16" s="49">
        <v>2.2581885937500004</v>
      </c>
      <c r="O16" s="43">
        <v>3.3000000000000003</v>
      </c>
      <c r="P16" s="28">
        <v>5.67</v>
      </c>
      <c r="Q16" s="54">
        <v>18.711000000000002</v>
      </c>
      <c r="R16" s="60">
        <v>13.3246175</v>
      </c>
      <c r="S16" s="62">
        <v>0.3898593749999999</v>
      </c>
      <c r="T16" s="60">
        <v>2.0713228593749995</v>
      </c>
      <c r="U16" s="62">
        <v>34.106940359375002</v>
      </c>
      <c r="V16" s="60">
        <v>17</v>
      </c>
      <c r="W16" s="67">
        <v>408</v>
      </c>
      <c r="X16" s="69">
        <v>10.199999999999999</v>
      </c>
      <c r="Y16" s="67">
        <v>61.306940359375005</v>
      </c>
      <c r="Z16" s="72">
        <v>70.5</v>
      </c>
      <c r="AA16" s="116">
        <v>82</v>
      </c>
      <c r="AB16" s="116">
        <v>81</v>
      </c>
      <c r="AC16" s="116">
        <v>17</v>
      </c>
      <c r="AD16" s="113">
        <f t="shared" si="0"/>
        <v>152.5</v>
      </c>
      <c r="AE16" s="113">
        <f t="shared" si="1"/>
        <v>151.5</v>
      </c>
      <c r="AF16" s="113">
        <f t="shared" si="2"/>
        <v>87.5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1.7150000000000001</v>
      </c>
      <c r="F17" s="48">
        <v>1.5692250000000001</v>
      </c>
      <c r="G17" s="28">
        <v>3.14</v>
      </c>
      <c r="H17" s="49">
        <v>4.9273665000000006</v>
      </c>
      <c r="I17" s="43">
        <v>0.39995416312499998</v>
      </c>
      <c r="J17" s="28">
        <v>19.55</v>
      </c>
      <c r="K17" s="54">
        <v>7.8191038890937499</v>
      </c>
      <c r="L17" s="52">
        <v>1.0913792118750001</v>
      </c>
      <c r="M17" s="28">
        <v>2.23</v>
      </c>
      <c r="N17" s="49">
        <v>2.4337756424812502</v>
      </c>
      <c r="O17" s="43">
        <v>3.43</v>
      </c>
      <c r="P17" s="28">
        <v>5.67</v>
      </c>
      <c r="Q17" s="54">
        <v>19.4481</v>
      </c>
      <c r="R17" s="60">
        <v>15.180246031575003</v>
      </c>
      <c r="S17" s="62">
        <v>0.477845788125</v>
      </c>
      <c r="T17" s="60">
        <v>2.5387946723081249</v>
      </c>
      <c r="U17" s="62">
        <v>37.167140703883135</v>
      </c>
      <c r="V17" s="60">
        <v>24.68</v>
      </c>
      <c r="W17" s="67">
        <v>408</v>
      </c>
      <c r="X17" s="69">
        <v>10.199999999999999</v>
      </c>
      <c r="Y17" s="67">
        <v>72.04714070388313</v>
      </c>
      <c r="Z17" s="72">
        <v>82.9</v>
      </c>
      <c r="AA17" s="116">
        <v>91</v>
      </c>
      <c r="AB17" s="116">
        <v>90</v>
      </c>
      <c r="AC17" s="116">
        <v>19</v>
      </c>
      <c r="AD17" s="113">
        <f t="shared" si="0"/>
        <v>173.9</v>
      </c>
      <c r="AE17" s="113">
        <f t="shared" si="1"/>
        <v>172.9</v>
      </c>
      <c r="AF17" s="113">
        <f t="shared" si="2"/>
        <v>101.9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1.7550000000000001</v>
      </c>
      <c r="F18" s="48">
        <v>1.6760250000000001</v>
      </c>
      <c r="G18" s="28">
        <v>3.14</v>
      </c>
      <c r="H18" s="49">
        <v>5.2627185000000001</v>
      </c>
      <c r="I18" s="43">
        <v>0.43554720812499992</v>
      </c>
      <c r="J18" s="28">
        <v>19.55</v>
      </c>
      <c r="K18" s="54">
        <v>8.5149479188437489</v>
      </c>
      <c r="L18" s="52">
        <v>1.141548166875</v>
      </c>
      <c r="M18" s="28">
        <v>2.23</v>
      </c>
      <c r="N18" s="49">
        <v>2.54565241213125</v>
      </c>
      <c r="O18" s="43">
        <v>3.5100000000000002</v>
      </c>
      <c r="P18" s="28">
        <v>5.67</v>
      </c>
      <c r="Q18" s="54">
        <v>19.901700000000002</v>
      </c>
      <c r="R18" s="60">
        <v>16.323318830974998</v>
      </c>
      <c r="S18" s="62">
        <v>0.53447683312500005</v>
      </c>
      <c r="T18" s="60">
        <v>2.8396754143931253</v>
      </c>
      <c r="U18" s="62">
        <v>39.064694245368131</v>
      </c>
      <c r="V18" s="60">
        <v>31.35</v>
      </c>
      <c r="W18" s="67">
        <v>408</v>
      </c>
      <c r="X18" s="69">
        <v>10.199999999999999</v>
      </c>
      <c r="Y18" s="67">
        <v>80.614694245368142</v>
      </c>
      <c r="Z18" s="72">
        <v>92.7</v>
      </c>
      <c r="AA18" s="116">
        <v>91</v>
      </c>
      <c r="AB18" s="116">
        <v>90</v>
      </c>
      <c r="AC18" s="116">
        <v>19</v>
      </c>
      <c r="AD18" s="113">
        <f t="shared" si="0"/>
        <v>183.7</v>
      </c>
      <c r="AE18" s="113">
        <f t="shared" si="1"/>
        <v>182.7</v>
      </c>
      <c r="AF18" s="113">
        <f t="shared" si="2"/>
        <v>111.7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1.8</v>
      </c>
      <c r="F19" s="48">
        <v>1.8</v>
      </c>
      <c r="G19" s="28">
        <v>3.14</v>
      </c>
      <c r="H19" s="49">
        <v>5.6520000000000001</v>
      </c>
      <c r="I19" s="43">
        <v>0.47440000000000004</v>
      </c>
      <c r="J19" s="28">
        <v>19.55</v>
      </c>
      <c r="K19" s="54">
        <v>9.2745200000000008</v>
      </c>
      <c r="L19" s="52">
        <v>1.2000000000000002</v>
      </c>
      <c r="M19" s="28">
        <v>2.23</v>
      </c>
      <c r="N19" s="49">
        <v>2.6760000000000002</v>
      </c>
      <c r="O19" s="43">
        <v>3.6</v>
      </c>
      <c r="P19" s="28">
        <v>5.67</v>
      </c>
      <c r="Q19" s="54">
        <v>20.411999999999999</v>
      </c>
      <c r="R19" s="60">
        <v>17.602519999999998</v>
      </c>
      <c r="S19" s="62">
        <v>0.59999999999999987</v>
      </c>
      <c r="T19" s="60">
        <v>3.1877999999999993</v>
      </c>
      <c r="U19" s="62">
        <v>41.20232</v>
      </c>
      <c r="V19" s="60">
        <v>38.44</v>
      </c>
      <c r="W19" s="67">
        <v>408</v>
      </c>
      <c r="X19" s="69">
        <v>10.199999999999999</v>
      </c>
      <c r="Y19" s="67">
        <v>89.842320000000001</v>
      </c>
      <c r="Z19" s="72">
        <v>103.3</v>
      </c>
      <c r="AA19" s="116">
        <v>105</v>
      </c>
      <c r="AB19" s="116">
        <v>103</v>
      </c>
      <c r="AC19" s="116">
        <v>22</v>
      </c>
      <c r="AD19" s="113">
        <f t="shared" si="0"/>
        <v>208.3</v>
      </c>
      <c r="AE19" s="113">
        <f t="shared" si="1"/>
        <v>206.3</v>
      </c>
      <c r="AF19" s="113">
        <f t="shared" si="2"/>
        <v>125.3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1.9000000000000001</v>
      </c>
      <c r="F20" s="48">
        <v>2.0900000000000003</v>
      </c>
      <c r="G20" s="28">
        <v>3.14</v>
      </c>
      <c r="H20" s="49">
        <v>6.5626000000000015</v>
      </c>
      <c r="I20" s="43">
        <v>0.55412499999999998</v>
      </c>
      <c r="J20" s="28">
        <v>19.55</v>
      </c>
      <c r="K20" s="54">
        <v>10.83314375</v>
      </c>
      <c r="L20" s="52">
        <v>1.3396250000000003</v>
      </c>
      <c r="M20" s="28">
        <v>2.23</v>
      </c>
      <c r="N20" s="49">
        <v>2.9873637500000005</v>
      </c>
      <c r="O20" s="43">
        <v>3.8000000000000003</v>
      </c>
      <c r="P20" s="28">
        <v>5.67</v>
      </c>
      <c r="Q20" s="54">
        <v>21.546000000000003</v>
      </c>
      <c r="R20" s="60">
        <v>20.383107500000001</v>
      </c>
      <c r="S20" s="62">
        <v>0.75037500000000001</v>
      </c>
      <c r="T20" s="60">
        <v>3.9867423749999999</v>
      </c>
      <c r="U20" s="62">
        <v>45.915849874999999</v>
      </c>
      <c r="V20" s="60">
        <v>70.239999999999995</v>
      </c>
      <c r="W20" s="67">
        <v>408</v>
      </c>
      <c r="X20" s="69">
        <v>10.199999999999999</v>
      </c>
      <c r="Y20" s="67">
        <v>126.355849875</v>
      </c>
      <c r="Z20" s="72">
        <v>145.30000000000001</v>
      </c>
      <c r="AA20" s="116">
        <v>105</v>
      </c>
      <c r="AB20" s="116">
        <v>103</v>
      </c>
      <c r="AC20" s="116">
        <v>22</v>
      </c>
      <c r="AD20" s="113">
        <f t="shared" si="0"/>
        <v>250.3</v>
      </c>
      <c r="AE20" s="113">
        <f t="shared" si="1"/>
        <v>248.3</v>
      </c>
      <c r="AF20" s="113">
        <f t="shared" si="2"/>
        <v>167.3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42">
        <v>2</v>
      </c>
      <c r="F21" s="50">
        <v>2.4</v>
      </c>
      <c r="G21" s="32">
        <v>3.14</v>
      </c>
      <c r="H21" s="51">
        <v>7.5359999999999996</v>
      </c>
      <c r="I21" s="44">
        <v>0.6208800000000001</v>
      </c>
      <c r="J21" s="32">
        <v>19.55</v>
      </c>
      <c r="K21" s="55">
        <v>12.138204000000002</v>
      </c>
      <c r="L21" s="58">
        <v>1.4965199999999999</v>
      </c>
      <c r="M21" s="32">
        <v>2.23</v>
      </c>
      <c r="N21" s="51">
        <v>3.3372395999999998</v>
      </c>
      <c r="O21" s="44">
        <v>4</v>
      </c>
      <c r="P21" s="32">
        <v>5.67</v>
      </c>
      <c r="Q21" s="55">
        <v>22.68</v>
      </c>
      <c r="R21" s="61">
        <v>23.011443600000003</v>
      </c>
      <c r="S21" s="63">
        <v>0.90348000000000006</v>
      </c>
      <c r="T21" s="61">
        <v>4.8001892399999999</v>
      </c>
      <c r="U21" s="63">
        <v>50.491632840000001</v>
      </c>
      <c r="V21" s="61">
        <v>87.89</v>
      </c>
      <c r="W21" s="68">
        <v>408</v>
      </c>
      <c r="X21" s="70">
        <v>10.199999999999999</v>
      </c>
      <c r="Y21" s="68">
        <v>148.58163284</v>
      </c>
      <c r="Z21" s="72">
        <v>170.7</v>
      </c>
      <c r="AA21" s="116">
        <v>123</v>
      </c>
      <c r="AB21" s="116">
        <v>121</v>
      </c>
      <c r="AC21" s="116">
        <v>26</v>
      </c>
      <c r="AD21" s="113">
        <f t="shared" si="0"/>
        <v>293.7</v>
      </c>
      <c r="AE21" s="113">
        <f t="shared" si="1"/>
        <v>291.7</v>
      </c>
      <c r="AF21" s="113">
        <f t="shared" si="2"/>
        <v>196.7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2.1</v>
      </c>
      <c r="F22" s="52">
        <v>2.7299999999999995</v>
      </c>
      <c r="G22" s="28">
        <v>3.14</v>
      </c>
      <c r="H22" s="49">
        <v>8.5721999999999987</v>
      </c>
      <c r="I22" s="43">
        <v>0.66995499999999986</v>
      </c>
      <c r="J22" s="28">
        <v>19.55</v>
      </c>
      <c r="K22" s="54">
        <v>13.097620249999999</v>
      </c>
      <c r="L22" s="52">
        <v>1.6753949999999997</v>
      </c>
      <c r="M22" s="28">
        <v>2.23</v>
      </c>
      <c r="N22" s="49">
        <v>3.7361308499999994</v>
      </c>
      <c r="O22" s="43">
        <v>4.2</v>
      </c>
      <c r="P22" s="28">
        <v>5.67</v>
      </c>
      <c r="Q22" s="54">
        <v>23.814</v>
      </c>
      <c r="R22" s="60">
        <v>25.405951099999996</v>
      </c>
      <c r="S22" s="62">
        <v>1.0546049999999998</v>
      </c>
      <c r="T22" s="60">
        <v>5.6031163649999982</v>
      </c>
      <c r="U22" s="62">
        <v>54.823067464999994</v>
      </c>
      <c r="V22" s="60">
        <v>114.2</v>
      </c>
      <c r="W22" s="67">
        <v>492</v>
      </c>
      <c r="X22" s="69">
        <v>12.3</v>
      </c>
      <c r="Y22" s="67">
        <v>181.32306746500001</v>
      </c>
      <c r="Z22" s="72">
        <v>208.5</v>
      </c>
      <c r="AA22" s="116">
        <v>123</v>
      </c>
      <c r="AB22" s="116">
        <v>121</v>
      </c>
      <c r="AC22" s="116">
        <v>26</v>
      </c>
      <c r="AD22" s="113">
        <f t="shared" si="0"/>
        <v>331.5</v>
      </c>
      <c r="AE22" s="113">
        <f t="shared" si="1"/>
        <v>329.5</v>
      </c>
      <c r="AF22" s="113">
        <f t="shared" si="2"/>
        <v>234.5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2.1999999999999997</v>
      </c>
      <c r="F23" s="48">
        <v>3.0799999999999996</v>
      </c>
      <c r="G23" s="28">
        <v>3.14</v>
      </c>
      <c r="H23" s="49">
        <v>9.6711999999999989</v>
      </c>
      <c r="I23" s="43">
        <v>0.69663999999999981</v>
      </c>
      <c r="J23" s="28">
        <v>19.55</v>
      </c>
      <c r="K23" s="54">
        <v>13.619311999999997</v>
      </c>
      <c r="L23" s="52">
        <v>1.8809599999999995</v>
      </c>
      <c r="M23" s="28">
        <v>2.23</v>
      </c>
      <c r="N23" s="49">
        <v>4.1945407999999986</v>
      </c>
      <c r="O23" s="43">
        <v>4.3999999999999995</v>
      </c>
      <c r="P23" s="28">
        <v>5.67</v>
      </c>
      <c r="Q23" s="54">
        <v>24.947999999999997</v>
      </c>
      <c r="R23" s="60">
        <v>27.485052799999995</v>
      </c>
      <c r="S23" s="62">
        <v>1.1990400000000001</v>
      </c>
      <c r="T23" s="60">
        <v>6.3704995200000001</v>
      </c>
      <c r="U23" s="62">
        <v>58.803552319999994</v>
      </c>
      <c r="V23" s="60">
        <v>140.9</v>
      </c>
      <c r="W23" s="67">
        <v>492</v>
      </c>
      <c r="X23" s="69">
        <v>12.3</v>
      </c>
      <c r="Y23" s="67">
        <v>212.00355232000001</v>
      </c>
      <c r="Z23" s="72">
        <v>243.8</v>
      </c>
      <c r="AA23" s="116">
        <v>145</v>
      </c>
      <c r="AB23" s="116">
        <v>143</v>
      </c>
      <c r="AC23" s="116">
        <v>30</v>
      </c>
      <c r="AD23" s="113">
        <f t="shared" si="0"/>
        <v>388.8</v>
      </c>
      <c r="AE23" s="113">
        <f t="shared" si="1"/>
        <v>386.8</v>
      </c>
      <c r="AF23" s="113">
        <f t="shared" si="2"/>
        <v>273.8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2.2999999999999998</v>
      </c>
      <c r="F24" s="48">
        <v>3.4499999999999997</v>
      </c>
      <c r="G24" s="28">
        <v>3.14</v>
      </c>
      <c r="H24" s="49">
        <v>10.833</v>
      </c>
      <c r="I24" s="43">
        <v>0.69622500000000009</v>
      </c>
      <c r="J24" s="28">
        <v>19.55</v>
      </c>
      <c r="K24" s="54">
        <v>13.611198750000002</v>
      </c>
      <c r="L24" s="52">
        <v>2.1179249999999996</v>
      </c>
      <c r="M24" s="28">
        <v>2.23</v>
      </c>
      <c r="N24" s="49">
        <v>4.7229727499999994</v>
      </c>
      <c r="O24" s="43">
        <v>4.5999999999999996</v>
      </c>
      <c r="P24" s="28">
        <v>5.67</v>
      </c>
      <c r="Q24" s="54">
        <v>26.081999999999997</v>
      </c>
      <c r="R24" s="60">
        <v>29.167171500000002</v>
      </c>
      <c r="S24" s="62">
        <v>1.3320750000000001</v>
      </c>
      <c r="T24" s="60">
        <v>7.0773144750000005</v>
      </c>
      <c r="U24" s="62">
        <v>62.326485975000004</v>
      </c>
      <c r="V24" s="60">
        <v>149</v>
      </c>
      <c r="W24" s="67">
        <v>492</v>
      </c>
      <c r="X24" s="69">
        <v>12.3</v>
      </c>
      <c r="Y24" s="67">
        <v>223.62648597500001</v>
      </c>
      <c r="Z24" s="72">
        <v>257.2</v>
      </c>
      <c r="AA24" s="116">
        <v>145</v>
      </c>
      <c r="AB24" s="116">
        <v>143</v>
      </c>
      <c r="AC24" s="116">
        <v>30</v>
      </c>
      <c r="AD24" s="113">
        <f t="shared" si="0"/>
        <v>402.2</v>
      </c>
      <c r="AE24" s="113">
        <f t="shared" si="1"/>
        <v>400.2</v>
      </c>
      <c r="AF24" s="113">
        <f t="shared" si="2"/>
        <v>287.2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2.4</v>
      </c>
      <c r="F25" s="48">
        <v>3.84</v>
      </c>
      <c r="G25" s="28">
        <v>3.14</v>
      </c>
      <c r="H25" s="49">
        <v>12.057600000000001</v>
      </c>
      <c r="I25" s="43">
        <v>0.66399999999999992</v>
      </c>
      <c r="J25" s="28">
        <v>19.55</v>
      </c>
      <c r="K25" s="54">
        <v>12.981199999999999</v>
      </c>
      <c r="L25" s="52">
        <v>2.391</v>
      </c>
      <c r="M25" s="28">
        <v>2.23</v>
      </c>
      <c r="N25" s="49">
        <v>5.3319299999999998</v>
      </c>
      <c r="O25" s="43">
        <v>4.8</v>
      </c>
      <c r="P25" s="28">
        <v>5.67</v>
      </c>
      <c r="Q25" s="54">
        <v>27.215999999999998</v>
      </c>
      <c r="R25" s="60">
        <v>30.370730000000002</v>
      </c>
      <c r="S25" s="62">
        <v>1.4489999999999998</v>
      </c>
      <c r="T25" s="60">
        <v>7.6985369999999991</v>
      </c>
      <c r="U25" s="62">
        <v>65.285267000000005</v>
      </c>
      <c r="V25" s="60">
        <v>166.5</v>
      </c>
      <c r="W25" s="67">
        <v>492</v>
      </c>
      <c r="X25" s="69">
        <v>12.3</v>
      </c>
      <c r="Y25" s="67">
        <v>244.08526700000002</v>
      </c>
      <c r="Z25" s="72">
        <v>280.7</v>
      </c>
      <c r="AA25" s="116">
        <v>171</v>
      </c>
      <c r="AB25" s="116">
        <v>169</v>
      </c>
      <c r="AC25" s="116">
        <v>34</v>
      </c>
      <c r="AD25" s="113">
        <f t="shared" si="0"/>
        <v>451.7</v>
      </c>
      <c r="AE25" s="113">
        <f t="shared" si="1"/>
        <v>449.7</v>
      </c>
      <c r="AF25" s="113">
        <f t="shared" si="2"/>
        <v>314.7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2.65</v>
      </c>
      <c r="F26" s="50">
        <v>4.9024999999999999</v>
      </c>
      <c r="G26" s="32">
        <v>3.14</v>
      </c>
      <c r="H26" s="51">
        <v>15.39385</v>
      </c>
      <c r="I26" s="44">
        <v>0.41335937499999992</v>
      </c>
      <c r="J26" s="32">
        <v>19.55</v>
      </c>
      <c r="K26" s="55">
        <v>8.081175781249998</v>
      </c>
      <c r="L26" s="58">
        <v>3.2625781250000001</v>
      </c>
      <c r="M26" s="32">
        <v>2.23</v>
      </c>
      <c r="N26" s="51">
        <v>7.2755492187500002</v>
      </c>
      <c r="O26" s="44">
        <v>5.3</v>
      </c>
      <c r="P26" s="32">
        <v>5.67</v>
      </c>
      <c r="Q26" s="55">
        <v>30.050999999999998</v>
      </c>
      <c r="R26" s="61">
        <v>30.750574999999998</v>
      </c>
      <c r="S26" s="63">
        <v>1.6399218749999998</v>
      </c>
      <c r="T26" s="71">
        <v>8.7129049218749994</v>
      </c>
      <c r="U26" s="63">
        <v>69.514479921874994</v>
      </c>
      <c r="V26" s="61">
        <v>203.43</v>
      </c>
      <c r="W26" s="63">
        <v>492</v>
      </c>
      <c r="X26" s="71">
        <v>12.3</v>
      </c>
      <c r="Y26" s="63">
        <v>285.24447992187498</v>
      </c>
      <c r="Z26" s="72">
        <v>328</v>
      </c>
      <c r="AA26" s="117">
        <v>171</v>
      </c>
      <c r="AB26" s="117">
        <v>169</v>
      </c>
      <c r="AC26" s="117">
        <v>34</v>
      </c>
      <c r="AD26" s="114">
        <f t="shared" si="0"/>
        <v>499</v>
      </c>
      <c r="AE26" s="114">
        <f t="shared" si="1"/>
        <v>497</v>
      </c>
      <c r="AF26" s="114">
        <f t="shared" si="2"/>
        <v>362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7"/>
  <sheetViews>
    <sheetView view="pageBreakPreview" zoomScaleNormal="75" zoomScaleSheetLayoutView="100" workbookViewId="0">
      <pane xSplit="5" ySplit="13" topLeftCell="P17" activePane="bottomRight" state="frozen"/>
      <selection pane="topRight" activeCell="F1" sqref="F1"/>
      <selection pane="bottomLeft" activeCell="A14" sqref="A14"/>
      <selection pane="bottomRight" activeCell="A20" sqref="A20:XFD20"/>
    </sheetView>
  </sheetViews>
  <sheetFormatPr defaultRowHeight="12.75" x14ac:dyDescent="0.2"/>
  <cols>
    <col min="1" max="1" width="3.42578125" style="24" customWidth="1"/>
    <col min="2" max="2" width="7" style="1" customWidth="1"/>
    <col min="3" max="3" width="7.140625" style="1" customWidth="1"/>
    <col min="4" max="4" width="7.140625" style="25" customWidth="1"/>
    <col min="5" max="5" width="7.7109375" style="1" customWidth="1"/>
    <col min="6" max="8" width="6.85546875" style="1" customWidth="1"/>
    <col min="9" max="9" width="7.28515625" style="1" customWidth="1"/>
    <col min="10" max="10" width="7.140625" style="1" customWidth="1"/>
    <col min="11" max="11" width="7.28515625" style="1" customWidth="1"/>
    <col min="12" max="12" width="8.42578125" style="1" customWidth="1"/>
    <col min="13" max="13" width="7.28515625" style="1" customWidth="1"/>
    <col min="14" max="14" width="7.140625" style="1" customWidth="1"/>
    <col min="15" max="15" width="8.5703125" style="1" customWidth="1"/>
    <col min="16" max="16" width="7" style="1" customWidth="1"/>
    <col min="17" max="17" width="7.5703125" style="1" customWidth="1"/>
    <col min="18" max="18" width="8.5703125" style="1" customWidth="1"/>
    <col min="19" max="19" width="9.5703125" style="1" customWidth="1"/>
    <col min="20" max="20" width="12.7109375" style="1" customWidth="1"/>
    <col min="21" max="21" width="9.5703125" style="1" customWidth="1"/>
    <col min="22" max="22" width="11.5703125" style="1" customWidth="1"/>
    <col min="23" max="23" width="9.7109375" style="1" customWidth="1"/>
    <col min="24" max="24" width="8.5703125" style="1" customWidth="1"/>
    <col min="25" max="25" width="9.7109375" style="1" customWidth="1"/>
    <col min="26" max="26" width="8.5703125" style="1" customWidth="1"/>
  </cols>
  <sheetData>
    <row r="1" spans="1:32" ht="35.25" customHeight="1" x14ac:dyDescent="0.2">
      <c r="A1" s="1065" t="s">
        <v>26</v>
      </c>
      <c r="B1" s="1065"/>
      <c r="C1" s="1065"/>
      <c r="D1" s="1065"/>
      <c r="E1" s="1065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066" t="s">
        <v>17</v>
      </c>
      <c r="B4" s="1066"/>
      <c r="C4" s="1066"/>
      <c r="D4" s="1066"/>
      <c r="E4" s="1066"/>
      <c r="F4" s="1066"/>
      <c r="G4" s="1066"/>
      <c r="H4" s="1066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ht="12" customHeight="1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2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2.5" customHeight="1" thickBot="1" x14ac:dyDescent="0.25">
      <c r="B11" s="1059" t="s">
        <v>24</v>
      </c>
      <c r="C11" s="1060"/>
      <c r="D11" s="1060"/>
      <c r="E11" s="1061"/>
      <c r="F11" s="1059" t="s">
        <v>1</v>
      </c>
      <c r="G11" s="1060"/>
      <c r="H11" s="1061"/>
      <c r="I11" s="1059" t="s">
        <v>2</v>
      </c>
      <c r="J11" s="1060"/>
      <c r="K11" s="1061"/>
      <c r="L11" s="1059" t="s">
        <v>3</v>
      </c>
      <c r="M11" s="1060"/>
      <c r="N11" s="1061"/>
      <c r="O11" s="1059" t="s">
        <v>4</v>
      </c>
      <c r="P11" s="1060"/>
      <c r="Q11" s="1060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39</v>
      </c>
      <c r="AA11" s="1059" t="s">
        <v>93</v>
      </c>
      <c r="AB11" s="1060"/>
      <c r="AC11" s="1061"/>
      <c r="AD11" s="1062" t="s">
        <v>97</v>
      </c>
      <c r="AE11" s="1063"/>
      <c r="AF11" s="1064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53" t="s">
        <v>6</v>
      </c>
      <c r="L12" s="57"/>
      <c r="M12" s="16" t="s">
        <v>6</v>
      </c>
      <c r="N12" s="16" t="s">
        <v>6</v>
      </c>
      <c r="O12" s="56"/>
      <c r="P12" s="16" t="s">
        <v>6</v>
      </c>
      <c r="Q12" s="53" t="s">
        <v>6</v>
      </c>
      <c r="R12" s="19" t="s">
        <v>6</v>
      </c>
      <c r="S12" s="64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2" t="s">
        <v>12</v>
      </c>
      <c r="L13" s="81" t="s">
        <v>14</v>
      </c>
      <c r="M13" s="21" t="s">
        <v>11</v>
      </c>
      <c r="N13" s="21" t="s">
        <v>12</v>
      </c>
      <c r="O13" s="83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2.06</v>
      </c>
      <c r="F14" s="48">
        <v>1.5656000000000001</v>
      </c>
      <c r="G14" s="28">
        <v>3.14</v>
      </c>
      <c r="H14" s="49">
        <v>4.9159840000000008</v>
      </c>
      <c r="I14" s="43">
        <v>0.25832704000000001</v>
      </c>
      <c r="J14" s="28">
        <v>19.55</v>
      </c>
      <c r="K14" s="54">
        <v>5.0502936320000007</v>
      </c>
      <c r="L14" s="52">
        <v>1.28717696</v>
      </c>
      <c r="M14" s="28">
        <v>2.23</v>
      </c>
      <c r="N14" s="49">
        <v>2.8704046208</v>
      </c>
      <c r="O14" s="43">
        <v>4.12</v>
      </c>
      <c r="P14" s="28">
        <v>5.67</v>
      </c>
      <c r="Q14" s="54">
        <v>23.360400000000002</v>
      </c>
      <c r="R14" s="59">
        <v>12.836682252800001</v>
      </c>
      <c r="S14" s="62">
        <v>0.27842304000000007</v>
      </c>
      <c r="T14" s="60">
        <v>1.4792616115200001</v>
      </c>
      <c r="U14" s="62">
        <v>37.676343864320003</v>
      </c>
      <c r="V14" s="60">
        <v>9.8699999999999992</v>
      </c>
      <c r="W14" s="67">
        <v>757</v>
      </c>
      <c r="X14" s="69">
        <v>18.925000000000001</v>
      </c>
      <c r="Y14" s="67">
        <v>66.471343864320005</v>
      </c>
      <c r="Z14" s="72">
        <v>76.400000000000006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149.4</v>
      </c>
      <c r="AE14" s="112">
        <f>(Z14+AB14)*$AF$7</f>
        <v>148.4</v>
      </c>
      <c r="AF14" s="112">
        <f>(Z14+AC14)*$AF$7</f>
        <v>91.4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2.1</v>
      </c>
      <c r="F15" s="48">
        <v>1.6800000000000002</v>
      </c>
      <c r="G15" s="28">
        <v>3.14</v>
      </c>
      <c r="H15" s="49">
        <v>5.2752000000000008</v>
      </c>
      <c r="I15" s="43">
        <v>0.29488000000000003</v>
      </c>
      <c r="J15" s="28">
        <v>19.55</v>
      </c>
      <c r="K15" s="54">
        <v>5.7649040000000005</v>
      </c>
      <c r="L15" s="52">
        <v>1.35372</v>
      </c>
      <c r="M15" s="28">
        <v>2.23</v>
      </c>
      <c r="N15" s="49">
        <v>3.0187956000000002</v>
      </c>
      <c r="O15" s="43">
        <v>4.2</v>
      </c>
      <c r="P15" s="28">
        <v>5.67</v>
      </c>
      <c r="Q15" s="54">
        <v>23.814</v>
      </c>
      <c r="R15" s="60">
        <v>14.058899600000002</v>
      </c>
      <c r="S15" s="62">
        <v>0.32628000000000013</v>
      </c>
      <c r="T15" s="60">
        <v>1.7335256400000005</v>
      </c>
      <c r="U15" s="62">
        <v>39.606425240000007</v>
      </c>
      <c r="V15" s="60">
        <v>11.9</v>
      </c>
      <c r="W15" s="67">
        <v>757</v>
      </c>
      <c r="X15" s="69">
        <v>18.925000000000001</v>
      </c>
      <c r="Y15" s="67">
        <v>70.43142524000001</v>
      </c>
      <c r="Z15" s="72">
        <v>81</v>
      </c>
      <c r="AA15" s="116">
        <v>82</v>
      </c>
      <c r="AB15" s="116">
        <v>81</v>
      </c>
      <c r="AC15" s="116">
        <v>17</v>
      </c>
      <c r="AD15" s="113">
        <f t="shared" si="0"/>
        <v>163</v>
      </c>
      <c r="AE15" s="113">
        <f t="shared" ref="AE15:AE26" si="1">(Z15+AB15)*$AF$7</f>
        <v>162</v>
      </c>
      <c r="AF15" s="113">
        <f t="shared" ref="AF15:AF26" si="2">(Z15+AC15)*$AF$7</f>
        <v>98</v>
      </c>
    </row>
    <row r="16" spans="1:32" s="29" customFormat="1" ht="13.9" customHeight="1" x14ac:dyDescent="0.2">
      <c r="A16" s="26"/>
      <c r="B16" s="38">
        <v>250</v>
      </c>
      <c r="C16" s="76">
        <v>0.25</v>
      </c>
      <c r="D16" s="27">
        <v>0.85</v>
      </c>
      <c r="E16" s="42">
        <v>2.15</v>
      </c>
      <c r="F16" s="48">
        <v>1.8274999999999999</v>
      </c>
      <c r="G16" s="28">
        <v>3.14</v>
      </c>
      <c r="H16" s="49">
        <v>5.7383499999999996</v>
      </c>
      <c r="I16" s="43">
        <v>0.340796875</v>
      </c>
      <c r="J16" s="28">
        <v>19.55</v>
      </c>
      <c r="K16" s="54">
        <v>6.6625789062500003</v>
      </c>
      <c r="L16" s="52">
        <v>1.437640625</v>
      </c>
      <c r="M16" s="28">
        <v>2.23</v>
      </c>
      <c r="N16" s="49">
        <v>3.20593859375</v>
      </c>
      <c r="O16" s="43">
        <v>4.3</v>
      </c>
      <c r="P16" s="28">
        <v>5.67</v>
      </c>
      <c r="Q16" s="54">
        <v>24.381</v>
      </c>
      <c r="R16" s="60">
        <v>15.6068675</v>
      </c>
      <c r="S16" s="62">
        <v>0.3898593749999999</v>
      </c>
      <c r="T16" s="60">
        <v>2.0713228593749995</v>
      </c>
      <c r="U16" s="62">
        <v>42.059190359375002</v>
      </c>
      <c r="V16" s="60">
        <v>17</v>
      </c>
      <c r="W16" s="67">
        <v>757</v>
      </c>
      <c r="X16" s="69">
        <v>18.925000000000001</v>
      </c>
      <c r="Y16" s="67">
        <v>77.984190359375006</v>
      </c>
      <c r="Z16" s="72">
        <v>89.7</v>
      </c>
      <c r="AA16" s="116">
        <v>82</v>
      </c>
      <c r="AB16" s="116">
        <v>81</v>
      </c>
      <c r="AC16" s="116">
        <v>17</v>
      </c>
      <c r="AD16" s="113">
        <f t="shared" si="0"/>
        <v>171.7</v>
      </c>
      <c r="AE16" s="113">
        <f t="shared" si="1"/>
        <v>170.7</v>
      </c>
      <c r="AF16" s="113">
        <f t="shared" si="2"/>
        <v>106.7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2.2149999999999999</v>
      </c>
      <c r="F17" s="48">
        <v>2.0267249999999999</v>
      </c>
      <c r="G17" s="28">
        <v>3.14</v>
      </c>
      <c r="H17" s="49">
        <v>6.3639165000000002</v>
      </c>
      <c r="I17" s="43">
        <v>0.39995416312499998</v>
      </c>
      <c r="J17" s="28">
        <v>19.55</v>
      </c>
      <c r="K17" s="54">
        <v>7.8191038890937499</v>
      </c>
      <c r="L17" s="52">
        <v>1.5488792118750001</v>
      </c>
      <c r="M17" s="28">
        <v>2.23</v>
      </c>
      <c r="N17" s="49">
        <v>3.4540006424812502</v>
      </c>
      <c r="O17" s="43">
        <v>4.43</v>
      </c>
      <c r="P17" s="28">
        <v>5.67</v>
      </c>
      <c r="Q17" s="54">
        <v>25.118099999999998</v>
      </c>
      <c r="R17" s="60">
        <v>17.637021031574999</v>
      </c>
      <c r="S17" s="62">
        <v>0.47784578812499978</v>
      </c>
      <c r="T17" s="60">
        <v>2.5387946723081236</v>
      </c>
      <c r="U17" s="62">
        <v>45.293915703883123</v>
      </c>
      <c r="V17" s="60">
        <v>24.68</v>
      </c>
      <c r="W17" s="67">
        <v>757</v>
      </c>
      <c r="X17" s="69">
        <v>18.925000000000001</v>
      </c>
      <c r="Y17" s="67">
        <v>88.898915703883119</v>
      </c>
      <c r="Z17" s="72">
        <v>102.2</v>
      </c>
      <c r="AA17" s="116">
        <v>91</v>
      </c>
      <c r="AB17" s="116">
        <v>90</v>
      </c>
      <c r="AC17" s="116">
        <v>19</v>
      </c>
      <c r="AD17" s="113">
        <f t="shared" si="0"/>
        <v>193.2</v>
      </c>
      <c r="AE17" s="113">
        <f t="shared" si="1"/>
        <v>192.2</v>
      </c>
      <c r="AF17" s="113">
        <f t="shared" si="2"/>
        <v>121.2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2.2549999999999999</v>
      </c>
      <c r="F18" s="48">
        <v>2.1535249999999997</v>
      </c>
      <c r="G18" s="28">
        <v>3.14</v>
      </c>
      <c r="H18" s="49">
        <v>6.7620684999999989</v>
      </c>
      <c r="I18" s="43">
        <v>0.43554720812499992</v>
      </c>
      <c r="J18" s="28">
        <v>19.55</v>
      </c>
      <c r="K18" s="54">
        <v>8.5149479188437489</v>
      </c>
      <c r="L18" s="52">
        <v>1.6190481668749996</v>
      </c>
      <c r="M18" s="28">
        <v>2.23</v>
      </c>
      <c r="N18" s="49">
        <v>3.6104774121312491</v>
      </c>
      <c r="O18" s="43">
        <v>4.51</v>
      </c>
      <c r="P18" s="28">
        <v>5.67</v>
      </c>
      <c r="Q18" s="54">
        <v>25.5717</v>
      </c>
      <c r="R18" s="60">
        <v>18.887493830974996</v>
      </c>
      <c r="S18" s="62">
        <v>0.53447683312500005</v>
      </c>
      <c r="T18" s="60">
        <v>2.8396754143931253</v>
      </c>
      <c r="U18" s="62">
        <v>47.298869245368124</v>
      </c>
      <c r="V18" s="60">
        <v>31.35</v>
      </c>
      <c r="W18" s="67">
        <v>757</v>
      </c>
      <c r="X18" s="69">
        <v>18.925000000000001</v>
      </c>
      <c r="Y18" s="67">
        <v>97.57386924536813</v>
      </c>
      <c r="Z18" s="72">
        <v>112.2</v>
      </c>
      <c r="AA18" s="116">
        <v>91</v>
      </c>
      <c r="AB18" s="116">
        <v>90</v>
      </c>
      <c r="AC18" s="116">
        <v>19</v>
      </c>
      <c r="AD18" s="113">
        <f t="shared" si="0"/>
        <v>203.2</v>
      </c>
      <c r="AE18" s="113">
        <f t="shared" si="1"/>
        <v>202.2</v>
      </c>
      <c r="AF18" s="113">
        <f t="shared" si="2"/>
        <v>131.19999999999999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2.2999999999999998</v>
      </c>
      <c r="F19" s="48">
        <v>2.2999999999999998</v>
      </c>
      <c r="G19" s="28">
        <v>3.14</v>
      </c>
      <c r="H19" s="49">
        <v>7.2219999999999995</v>
      </c>
      <c r="I19" s="43">
        <v>0.47440000000000004</v>
      </c>
      <c r="J19" s="28">
        <v>19.55</v>
      </c>
      <c r="K19" s="54">
        <v>9.2745200000000008</v>
      </c>
      <c r="L19" s="52">
        <v>1.6999999999999997</v>
      </c>
      <c r="M19" s="28">
        <v>2.23</v>
      </c>
      <c r="N19" s="49">
        <v>3.7909999999999995</v>
      </c>
      <c r="O19" s="43">
        <v>4.5999999999999996</v>
      </c>
      <c r="P19" s="28">
        <v>5.67</v>
      </c>
      <c r="Q19" s="54">
        <v>26.081999999999997</v>
      </c>
      <c r="R19" s="60">
        <v>20.287520000000001</v>
      </c>
      <c r="S19" s="62">
        <v>0.60000000000000009</v>
      </c>
      <c r="T19" s="60">
        <v>3.1878000000000002</v>
      </c>
      <c r="U19" s="62">
        <v>49.557319999999997</v>
      </c>
      <c r="V19" s="60">
        <v>38.44</v>
      </c>
      <c r="W19" s="67">
        <v>757</v>
      </c>
      <c r="X19" s="69">
        <v>18.925000000000001</v>
      </c>
      <c r="Y19" s="67">
        <v>106.92232</v>
      </c>
      <c r="Z19" s="72">
        <v>123</v>
      </c>
      <c r="AA19" s="116">
        <v>105</v>
      </c>
      <c r="AB19" s="116">
        <v>103</v>
      </c>
      <c r="AC19" s="116">
        <v>22</v>
      </c>
      <c r="AD19" s="113">
        <f t="shared" si="0"/>
        <v>228</v>
      </c>
      <c r="AE19" s="113">
        <f t="shared" si="1"/>
        <v>226</v>
      </c>
      <c r="AF19" s="113">
        <f t="shared" si="2"/>
        <v>145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2.4</v>
      </c>
      <c r="F20" s="48">
        <v>2.64</v>
      </c>
      <c r="G20" s="28">
        <v>3.14</v>
      </c>
      <c r="H20" s="49">
        <v>8.2896000000000001</v>
      </c>
      <c r="I20" s="43">
        <v>0.55412499999999998</v>
      </c>
      <c r="J20" s="28">
        <v>19.55</v>
      </c>
      <c r="K20" s="54">
        <v>10.83314375</v>
      </c>
      <c r="L20" s="52">
        <v>1.8896250000000001</v>
      </c>
      <c r="M20" s="28">
        <v>2.23</v>
      </c>
      <c r="N20" s="49">
        <v>4.2138637499999998</v>
      </c>
      <c r="O20" s="43">
        <v>4.8</v>
      </c>
      <c r="P20" s="28">
        <v>5.67</v>
      </c>
      <c r="Q20" s="54">
        <v>27.215999999999998</v>
      </c>
      <c r="R20" s="60">
        <v>23.3366075</v>
      </c>
      <c r="S20" s="62">
        <v>0.75037500000000001</v>
      </c>
      <c r="T20" s="60">
        <v>3.9867423749999999</v>
      </c>
      <c r="U20" s="62">
        <v>54.539349874999992</v>
      </c>
      <c r="V20" s="60">
        <v>70.239999999999995</v>
      </c>
      <c r="W20" s="67">
        <v>757</v>
      </c>
      <c r="X20" s="69">
        <v>18.925000000000001</v>
      </c>
      <c r="Y20" s="67">
        <v>143.70434987499999</v>
      </c>
      <c r="Z20" s="72">
        <v>165.3</v>
      </c>
      <c r="AA20" s="116">
        <v>105</v>
      </c>
      <c r="AB20" s="116">
        <v>103</v>
      </c>
      <c r="AC20" s="116">
        <v>22</v>
      </c>
      <c r="AD20" s="113">
        <f t="shared" si="0"/>
        <v>270.3</v>
      </c>
      <c r="AE20" s="113">
        <f t="shared" si="1"/>
        <v>268.3</v>
      </c>
      <c r="AF20" s="113">
        <f t="shared" si="2"/>
        <v>187.3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42">
        <v>2.5</v>
      </c>
      <c r="F21" s="50">
        <v>3</v>
      </c>
      <c r="G21" s="32">
        <v>3.14</v>
      </c>
      <c r="H21" s="51">
        <v>9.42</v>
      </c>
      <c r="I21" s="44">
        <v>0.6208800000000001</v>
      </c>
      <c r="J21" s="32">
        <v>19.55</v>
      </c>
      <c r="K21" s="55">
        <v>12.138204000000002</v>
      </c>
      <c r="L21" s="58">
        <v>2.0965199999999999</v>
      </c>
      <c r="M21" s="32">
        <v>2.23</v>
      </c>
      <c r="N21" s="51">
        <v>4.6752395999999994</v>
      </c>
      <c r="O21" s="44">
        <v>5</v>
      </c>
      <c r="P21" s="32">
        <v>5.67</v>
      </c>
      <c r="Q21" s="55">
        <v>28.35</v>
      </c>
      <c r="R21" s="61">
        <v>26.233443600000001</v>
      </c>
      <c r="S21" s="63">
        <v>0.90348000000000006</v>
      </c>
      <c r="T21" s="61">
        <v>4.8001892399999999</v>
      </c>
      <c r="U21" s="63">
        <v>59.383632840000004</v>
      </c>
      <c r="V21" s="61">
        <v>87.89</v>
      </c>
      <c r="W21" s="68">
        <v>757</v>
      </c>
      <c r="X21" s="70">
        <v>18.925000000000001</v>
      </c>
      <c r="Y21" s="68">
        <v>166.19863284000002</v>
      </c>
      <c r="Z21" s="72">
        <v>191.1</v>
      </c>
      <c r="AA21" s="116">
        <v>123</v>
      </c>
      <c r="AB21" s="116">
        <v>121</v>
      </c>
      <c r="AC21" s="116">
        <v>26</v>
      </c>
      <c r="AD21" s="113">
        <f t="shared" si="0"/>
        <v>314.10000000000002</v>
      </c>
      <c r="AE21" s="113">
        <f t="shared" si="1"/>
        <v>312.10000000000002</v>
      </c>
      <c r="AF21" s="113">
        <f t="shared" si="2"/>
        <v>217.1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2.6</v>
      </c>
      <c r="F22" s="52">
        <v>3.3799999999999994</v>
      </c>
      <c r="G22" s="28">
        <v>3.14</v>
      </c>
      <c r="H22" s="49">
        <v>10.613199999999999</v>
      </c>
      <c r="I22" s="43">
        <v>0.66995499999999986</v>
      </c>
      <c r="J22" s="28">
        <v>19.55</v>
      </c>
      <c r="K22" s="54">
        <v>13.097620249999999</v>
      </c>
      <c r="L22" s="52">
        <v>2.3253949999999994</v>
      </c>
      <c r="M22" s="28">
        <v>2.23</v>
      </c>
      <c r="N22" s="49">
        <v>5.185630849999999</v>
      </c>
      <c r="O22" s="43">
        <v>5.2</v>
      </c>
      <c r="P22" s="28">
        <v>5.67</v>
      </c>
      <c r="Q22" s="54">
        <v>29.484000000000002</v>
      </c>
      <c r="R22" s="60">
        <v>28.896451099999997</v>
      </c>
      <c r="S22" s="62">
        <v>1.054605</v>
      </c>
      <c r="T22" s="60">
        <v>5.6031163649999991</v>
      </c>
      <c r="U22" s="62">
        <v>63.983567465</v>
      </c>
      <c r="V22" s="60">
        <v>114.2</v>
      </c>
      <c r="W22" s="67">
        <v>989</v>
      </c>
      <c r="X22" s="69">
        <v>24.725000000000001</v>
      </c>
      <c r="Y22" s="67">
        <v>202.908567465</v>
      </c>
      <c r="Z22" s="72">
        <v>233.3</v>
      </c>
      <c r="AA22" s="116">
        <v>123</v>
      </c>
      <c r="AB22" s="116">
        <v>121</v>
      </c>
      <c r="AC22" s="116">
        <v>26</v>
      </c>
      <c r="AD22" s="113">
        <f t="shared" si="0"/>
        <v>356.3</v>
      </c>
      <c r="AE22" s="113">
        <f t="shared" si="1"/>
        <v>354.3</v>
      </c>
      <c r="AF22" s="113">
        <f t="shared" si="2"/>
        <v>259.3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2.6999999999999997</v>
      </c>
      <c r="F23" s="48">
        <v>3.7799999999999994</v>
      </c>
      <c r="G23" s="28">
        <v>3.14</v>
      </c>
      <c r="H23" s="49">
        <v>11.869199999999999</v>
      </c>
      <c r="I23" s="43">
        <v>0.69663999999999981</v>
      </c>
      <c r="J23" s="28">
        <v>19.55</v>
      </c>
      <c r="K23" s="54">
        <v>13.619311999999997</v>
      </c>
      <c r="L23" s="52">
        <v>2.5809599999999993</v>
      </c>
      <c r="M23" s="28">
        <v>2.23</v>
      </c>
      <c r="N23" s="49">
        <v>5.7555407999999986</v>
      </c>
      <c r="O23" s="43">
        <v>5.3999999999999995</v>
      </c>
      <c r="P23" s="28">
        <v>5.67</v>
      </c>
      <c r="Q23" s="54">
        <v>30.617999999999995</v>
      </c>
      <c r="R23" s="60">
        <v>31.244052799999995</v>
      </c>
      <c r="S23" s="62">
        <v>1.1990400000000001</v>
      </c>
      <c r="T23" s="60">
        <v>6.3704995200000001</v>
      </c>
      <c r="U23" s="62">
        <v>68.232552319999982</v>
      </c>
      <c r="V23" s="60">
        <v>140.9</v>
      </c>
      <c r="W23" s="67">
        <v>989</v>
      </c>
      <c r="X23" s="69">
        <v>24.725000000000001</v>
      </c>
      <c r="Y23" s="67">
        <v>233.85755232</v>
      </c>
      <c r="Z23" s="72">
        <v>268.89999999999998</v>
      </c>
      <c r="AA23" s="116">
        <v>145</v>
      </c>
      <c r="AB23" s="116">
        <v>143</v>
      </c>
      <c r="AC23" s="116">
        <v>30</v>
      </c>
      <c r="AD23" s="113">
        <f t="shared" si="0"/>
        <v>413.9</v>
      </c>
      <c r="AE23" s="113">
        <f t="shared" si="1"/>
        <v>411.9</v>
      </c>
      <c r="AF23" s="113">
        <f t="shared" si="2"/>
        <v>298.89999999999998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2.8</v>
      </c>
      <c r="F24" s="48">
        <v>4.1999999999999993</v>
      </c>
      <c r="G24" s="28">
        <v>3.14</v>
      </c>
      <c r="H24" s="49">
        <v>13.187999999999999</v>
      </c>
      <c r="I24" s="43">
        <v>0.69622500000000009</v>
      </c>
      <c r="J24" s="28">
        <v>19.55</v>
      </c>
      <c r="K24" s="54">
        <v>13.611198750000002</v>
      </c>
      <c r="L24" s="52">
        <v>2.8679249999999992</v>
      </c>
      <c r="M24" s="28">
        <v>2.23</v>
      </c>
      <c r="N24" s="49">
        <v>6.3954727499999979</v>
      </c>
      <c r="O24" s="43">
        <v>5.6</v>
      </c>
      <c r="P24" s="28">
        <v>5.67</v>
      </c>
      <c r="Q24" s="54">
        <v>31.751999999999999</v>
      </c>
      <c r="R24" s="60">
        <v>33.194671499999998</v>
      </c>
      <c r="S24" s="62">
        <v>1.3320750000000001</v>
      </c>
      <c r="T24" s="60">
        <v>7.0773144750000005</v>
      </c>
      <c r="U24" s="62">
        <v>72.023985974999988</v>
      </c>
      <c r="V24" s="60">
        <v>149</v>
      </c>
      <c r="W24" s="67">
        <v>989</v>
      </c>
      <c r="X24" s="69">
        <v>24.725000000000001</v>
      </c>
      <c r="Y24" s="67">
        <v>245.74898597499998</v>
      </c>
      <c r="Z24" s="72">
        <v>282.60000000000002</v>
      </c>
      <c r="AA24" s="116">
        <v>145</v>
      </c>
      <c r="AB24" s="116">
        <v>143</v>
      </c>
      <c r="AC24" s="116">
        <v>30</v>
      </c>
      <c r="AD24" s="113">
        <f t="shared" si="0"/>
        <v>427.6</v>
      </c>
      <c r="AE24" s="113">
        <f t="shared" si="1"/>
        <v>425.6</v>
      </c>
      <c r="AF24" s="113">
        <f t="shared" si="2"/>
        <v>312.60000000000002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2.9</v>
      </c>
      <c r="F25" s="48">
        <v>4.6399999999999997</v>
      </c>
      <c r="G25" s="28">
        <v>3.14</v>
      </c>
      <c r="H25" s="49">
        <v>14.569599999999999</v>
      </c>
      <c r="I25" s="43">
        <v>0.66399999999999992</v>
      </c>
      <c r="J25" s="28">
        <v>19.55</v>
      </c>
      <c r="K25" s="54">
        <v>12.981199999999999</v>
      </c>
      <c r="L25" s="52">
        <v>3.1909999999999998</v>
      </c>
      <c r="M25" s="28">
        <v>2.23</v>
      </c>
      <c r="N25" s="49">
        <v>7.1159299999999996</v>
      </c>
      <c r="O25" s="43">
        <v>5.8</v>
      </c>
      <c r="P25" s="28">
        <v>5.67</v>
      </c>
      <c r="Q25" s="54">
        <v>32.885999999999996</v>
      </c>
      <c r="R25" s="60">
        <v>34.666730000000001</v>
      </c>
      <c r="S25" s="62">
        <v>1.4489999999999998</v>
      </c>
      <c r="T25" s="60">
        <v>7.6985369999999991</v>
      </c>
      <c r="U25" s="62">
        <v>75.251266999999999</v>
      </c>
      <c r="V25" s="60">
        <v>166.5</v>
      </c>
      <c r="W25" s="67">
        <v>989</v>
      </c>
      <c r="X25" s="69">
        <v>24.725000000000001</v>
      </c>
      <c r="Y25" s="67">
        <v>266.47626700000001</v>
      </c>
      <c r="Z25" s="72">
        <v>306.39999999999998</v>
      </c>
      <c r="AA25" s="116">
        <v>171</v>
      </c>
      <c r="AB25" s="116">
        <v>169</v>
      </c>
      <c r="AC25" s="116">
        <v>34</v>
      </c>
      <c r="AD25" s="113">
        <f t="shared" si="0"/>
        <v>477.4</v>
      </c>
      <c r="AE25" s="113">
        <f t="shared" si="1"/>
        <v>475.4</v>
      </c>
      <c r="AF25" s="113">
        <f t="shared" si="2"/>
        <v>340.4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3.15</v>
      </c>
      <c r="F26" s="50">
        <v>5.8274999999999997</v>
      </c>
      <c r="G26" s="32">
        <v>3.14</v>
      </c>
      <c r="H26" s="51">
        <v>18.298349999999999</v>
      </c>
      <c r="I26" s="44">
        <v>0.41335937499999992</v>
      </c>
      <c r="J26" s="32">
        <v>19.55</v>
      </c>
      <c r="K26" s="55">
        <v>8.081175781249998</v>
      </c>
      <c r="L26" s="58">
        <v>4.1875781249999999</v>
      </c>
      <c r="M26" s="32">
        <v>2.23</v>
      </c>
      <c r="N26" s="51">
        <v>9.3382992187500005</v>
      </c>
      <c r="O26" s="44">
        <v>6.3</v>
      </c>
      <c r="P26" s="32">
        <v>5.67</v>
      </c>
      <c r="Q26" s="55">
        <v>35.720999999999997</v>
      </c>
      <c r="R26" s="61">
        <v>35.717824999999998</v>
      </c>
      <c r="S26" s="63">
        <v>1.6399218749999998</v>
      </c>
      <c r="T26" s="61">
        <v>8.7129049218749994</v>
      </c>
      <c r="U26" s="63">
        <v>80.151729921874988</v>
      </c>
      <c r="V26" s="61">
        <v>203.43</v>
      </c>
      <c r="W26" s="68">
        <v>989</v>
      </c>
      <c r="X26" s="71">
        <v>24.725000000000001</v>
      </c>
      <c r="Y26" s="68">
        <v>308.30672992187499</v>
      </c>
      <c r="Z26" s="72">
        <v>354.6</v>
      </c>
      <c r="AA26" s="117">
        <v>171</v>
      </c>
      <c r="AB26" s="117">
        <v>169</v>
      </c>
      <c r="AC26" s="117">
        <v>34</v>
      </c>
      <c r="AD26" s="114">
        <f t="shared" si="0"/>
        <v>525.6</v>
      </c>
      <c r="AE26" s="114">
        <f t="shared" si="1"/>
        <v>523.6</v>
      </c>
      <c r="AF26" s="114">
        <f t="shared" si="2"/>
        <v>388.6</v>
      </c>
    </row>
    <row r="27" spans="1:32" x14ac:dyDescent="0.2">
      <c r="O27" s="1">
        <v>0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26"/>
  <sheetViews>
    <sheetView view="pageBreakPreview" zoomScaleNormal="75" zoomScaleSheetLayoutView="100" workbookViewId="0">
      <pane xSplit="5" ySplit="13" topLeftCell="W14" activePane="bottomRight" state="frozen"/>
      <selection pane="topRight" activeCell="F1" sqref="F1"/>
      <selection pane="bottomLeft" activeCell="A14" sqref="A14"/>
      <selection pane="bottomRight" activeCell="T33" sqref="T33"/>
    </sheetView>
  </sheetViews>
  <sheetFormatPr defaultRowHeight="12.75" x14ac:dyDescent="0.2"/>
  <cols>
    <col min="1" max="1" width="3.42578125" style="24" customWidth="1"/>
    <col min="2" max="2" width="6.5703125" style="1" customWidth="1"/>
    <col min="3" max="3" width="7" style="1" customWidth="1"/>
    <col min="4" max="4" width="6.5703125" style="25" customWidth="1"/>
    <col min="5" max="5" width="7.85546875" style="1" customWidth="1"/>
    <col min="6" max="6" width="6.42578125" style="1" customWidth="1"/>
    <col min="7" max="8" width="6.85546875" style="1" customWidth="1"/>
    <col min="9" max="9" width="6.140625" style="1" customWidth="1"/>
    <col min="10" max="11" width="7" style="1" customWidth="1"/>
    <col min="12" max="12" width="8.140625" style="1" customWidth="1"/>
    <col min="13" max="14" width="7" style="1" customWidth="1"/>
    <col min="15" max="15" width="8.5703125" style="1" customWidth="1"/>
    <col min="16" max="16" width="6.5703125" style="1" customWidth="1"/>
    <col min="17" max="17" width="7" style="1" customWidth="1"/>
    <col min="18" max="18" width="8.28515625" style="1" customWidth="1"/>
    <col min="19" max="19" width="9.5703125" style="1" customWidth="1"/>
    <col min="20" max="20" width="12.85546875" style="1" customWidth="1"/>
    <col min="21" max="21" width="10.140625" style="1" customWidth="1"/>
    <col min="22" max="22" width="11" style="1" customWidth="1"/>
    <col min="23" max="23" width="9.7109375" style="1" customWidth="1"/>
    <col min="24" max="24" width="8.5703125" style="1" customWidth="1"/>
    <col min="25" max="25" width="9.7109375" style="1" customWidth="1"/>
    <col min="26" max="26" width="8.5703125" style="1" customWidth="1"/>
  </cols>
  <sheetData>
    <row r="1" spans="1:32" ht="35.25" customHeight="1" x14ac:dyDescent="0.2">
      <c r="A1" s="1065" t="s">
        <v>26</v>
      </c>
      <c r="B1" s="1065"/>
      <c r="C1" s="1065"/>
      <c r="D1" s="1065"/>
      <c r="E1" s="1065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066" t="s">
        <v>17</v>
      </c>
      <c r="B4" s="1066"/>
      <c r="C4" s="1066"/>
      <c r="D4" s="1066"/>
      <c r="E4" s="1066"/>
      <c r="F4" s="1066"/>
      <c r="G4" s="1066"/>
      <c r="H4" s="1066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2.5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3.25" customHeight="1" thickBot="1" x14ac:dyDescent="0.25">
      <c r="B11" s="1059" t="s">
        <v>24</v>
      </c>
      <c r="C11" s="1060"/>
      <c r="D11" s="1060"/>
      <c r="E11" s="1061"/>
      <c r="F11" s="1059" t="s">
        <v>1</v>
      </c>
      <c r="G11" s="1060"/>
      <c r="H11" s="1061"/>
      <c r="I11" s="1059" t="s">
        <v>2</v>
      </c>
      <c r="J11" s="1060"/>
      <c r="K11" s="1061"/>
      <c r="L11" s="1059" t="s">
        <v>3</v>
      </c>
      <c r="M11" s="1060"/>
      <c r="N11" s="1061"/>
      <c r="O11" s="1059" t="s">
        <v>4</v>
      </c>
      <c r="P11" s="1060"/>
      <c r="Q11" s="1060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39</v>
      </c>
      <c r="AA11" s="1059" t="s">
        <v>93</v>
      </c>
      <c r="AB11" s="1060"/>
      <c r="AC11" s="1061"/>
      <c r="AD11" s="1062" t="s">
        <v>97</v>
      </c>
      <c r="AE11" s="1063"/>
      <c r="AF11" s="1064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16" t="s">
        <v>6</v>
      </c>
      <c r="L12" s="15"/>
      <c r="M12" s="16" t="s">
        <v>6</v>
      </c>
      <c r="N12" s="16" t="s">
        <v>6</v>
      </c>
      <c r="O12" s="15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1" t="s">
        <v>12</v>
      </c>
      <c r="L13" s="79" t="s">
        <v>14</v>
      </c>
      <c r="M13" s="21" t="s">
        <v>11</v>
      </c>
      <c r="N13" s="21" t="s">
        <v>12</v>
      </c>
      <c r="O13" s="79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2.56</v>
      </c>
      <c r="F14" s="48">
        <v>1.9456</v>
      </c>
      <c r="G14" s="28">
        <v>3.14</v>
      </c>
      <c r="H14" s="49">
        <v>6.1091839999999999</v>
      </c>
      <c r="I14" s="43">
        <v>0.25832704000000001</v>
      </c>
      <c r="J14" s="28">
        <v>19.55</v>
      </c>
      <c r="K14" s="54">
        <v>5.0502936320000007</v>
      </c>
      <c r="L14" s="45">
        <v>1.6671769599999999</v>
      </c>
      <c r="M14" s="46">
        <v>2.23</v>
      </c>
      <c r="N14" s="47">
        <v>3.7178046208</v>
      </c>
      <c r="O14" s="43">
        <v>5.12</v>
      </c>
      <c r="P14" s="28">
        <v>5.67</v>
      </c>
      <c r="Q14" s="54">
        <v>29.0304</v>
      </c>
      <c r="R14" s="59">
        <v>14.877282252800001</v>
      </c>
      <c r="S14" s="62">
        <v>0.27842304000000007</v>
      </c>
      <c r="T14" s="60">
        <v>1.4792616115200001</v>
      </c>
      <c r="U14" s="62">
        <v>45.386943864320003</v>
      </c>
      <c r="V14" s="60">
        <v>9.8699999999999992</v>
      </c>
      <c r="W14" s="67">
        <v>757</v>
      </c>
      <c r="X14" s="69">
        <v>18.925000000000001</v>
      </c>
      <c r="Y14" s="67">
        <v>74.181943864320004</v>
      </c>
      <c r="Z14" s="72">
        <v>85.3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158.30000000000001</v>
      </c>
      <c r="AE14" s="112">
        <f>(Z14+AB14)*$AF$7</f>
        <v>157.30000000000001</v>
      </c>
      <c r="AF14" s="112">
        <f>(Z14+AC14)*$AF$7</f>
        <v>100.3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2.6</v>
      </c>
      <c r="F15" s="48">
        <v>2.08</v>
      </c>
      <c r="G15" s="28">
        <v>3.14</v>
      </c>
      <c r="H15" s="49">
        <v>6.5312000000000001</v>
      </c>
      <c r="I15" s="43">
        <v>0.29488000000000003</v>
      </c>
      <c r="J15" s="28">
        <v>19.55</v>
      </c>
      <c r="K15" s="54">
        <v>5.7649040000000005</v>
      </c>
      <c r="L15" s="52">
        <v>1.7537199999999999</v>
      </c>
      <c r="M15" s="28">
        <v>2.23</v>
      </c>
      <c r="N15" s="49">
        <v>3.9107955999999997</v>
      </c>
      <c r="O15" s="43">
        <v>5.2</v>
      </c>
      <c r="P15" s="28">
        <v>5.67</v>
      </c>
      <c r="Q15" s="54">
        <v>29.484000000000002</v>
      </c>
      <c r="R15" s="60">
        <v>16.2068996</v>
      </c>
      <c r="S15" s="62">
        <v>0.32628000000000013</v>
      </c>
      <c r="T15" s="60">
        <v>1.7335256400000005</v>
      </c>
      <c r="U15" s="62">
        <v>47.424425240000005</v>
      </c>
      <c r="V15" s="60">
        <v>11.9</v>
      </c>
      <c r="W15" s="67">
        <v>757</v>
      </c>
      <c r="X15" s="69">
        <v>18.925000000000001</v>
      </c>
      <c r="Y15" s="67">
        <v>78.249425240000008</v>
      </c>
      <c r="Z15" s="72">
        <v>90</v>
      </c>
      <c r="AA15" s="116">
        <v>82</v>
      </c>
      <c r="AB15" s="116">
        <v>81</v>
      </c>
      <c r="AC15" s="116">
        <v>17</v>
      </c>
      <c r="AD15" s="113">
        <f t="shared" si="0"/>
        <v>172</v>
      </c>
      <c r="AE15" s="113">
        <f t="shared" ref="AE15:AE26" si="1">(Z15+AB15)*$AF$7</f>
        <v>171</v>
      </c>
      <c r="AF15" s="113">
        <f t="shared" ref="AF15:AF26" si="2">(Z15+AC15)*$AF$7</f>
        <v>107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2.65</v>
      </c>
      <c r="F16" s="48">
        <v>2.2524999999999999</v>
      </c>
      <c r="G16" s="28">
        <v>3.14</v>
      </c>
      <c r="H16" s="49">
        <v>7.0728499999999999</v>
      </c>
      <c r="I16" s="43">
        <v>0.340796875</v>
      </c>
      <c r="J16" s="28">
        <v>19.55</v>
      </c>
      <c r="K16" s="54">
        <v>6.6625789062500003</v>
      </c>
      <c r="L16" s="52">
        <v>1.8626406249999998</v>
      </c>
      <c r="M16" s="28">
        <v>2.23</v>
      </c>
      <c r="N16" s="49">
        <v>4.1536885937499992</v>
      </c>
      <c r="O16" s="43">
        <v>5.3</v>
      </c>
      <c r="P16" s="28">
        <v>5.67</v>
      </c>
      <c r="Q16" s="54">
        <v>30.050999999999998</v>
      </c>
      <c r="R16" s="60">
        <v>17.889117499999998</v>
      </c>
      <c r="S16" s="62">
        <v>0.38985937500000012</v>
      </c>
      <c r="T16" s="60">
        <v>2.0713228593750004</v>
      </c>
      <c r="U16" s="62">
        <v>50.011440359375001</v>
      </c>
      <c r="V16" s="60">
        <v>17</v>
      </c>
      <c r="W16" s="67">
        <v>757</v>
      </c>
      <c r="X16" s="69">
        <v>18.925000000000001</v>
      </c>
      <c r="Y16" s="67">
        <v>85.936440359374998</v>
      </c>
      <c r="Z16" s="72">
        <v>98.8</v>
      </c>
      <c r="AA16" s="116">
        <v>82</v>
      </c>
      <c r="AB16" s="116">
        <v>81</v>
      </c>
      <c r="AC16" s="116">
        <v>17</v>
      </c>
      <c r="AD16" s="113">
        <f t="shared" si="0"/>
        <v>180.8</v>
      </c>
      <c r="AE16" s="113">
        <f t="shared" si="1"/>
        <v>179.8</v>
      </c>
      <c r="AF16" s="113">
        <f t="shared" si="2"/>
        <v>115.8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2.7149999999999999</v>
      </c>
      <c r="F17" s="48">
        <v>2.4842249999999999</v>
      </c>
      <c r="G17" s="28">
        <v>3.14</v>
      </c>
      <c r="H17" s="49">
        <v>7.8004664999999997</v>
      </c>
      <c r="I17" s="43">
        <v>0.39995416312499998</v>
      </c>
      <c r="J17" s="28">
        <v>19.55</v>
      </c>
      <c r="K17" s="54">
        <v>7.8191038890937499</v>
      </c>
      <c r="L17" s="52">
        <v>2.0063792118750001</v>
      </c>
      <c r="M17" s="28">
        <v>2.23</v>
      </c>
      <c r="N17" s="49">
        <v>4.4742256424812501</v>
      </c>
      <c r="O17" s="43">
        <v>5.43</v>
      </c>
      <c r="P17" s="28">
        <v>5.67</v>
      </c>
      <c r="Q17" s="54">
        <v>30.788099999999996</v>
      </c>
      <c r="R17" s="60">
        <v>20.093796031575</v>
      </c>
      <c r="S17" s="62">
        <v>0.47784578812499978</v>
      </c>
      <c r="T17" s="60">
        <v>2.5387946723081236</v>
      </c>
      <c r="U17" s="62">
        <v>53.420690703883118</v>
      </c>
      <c r="V17" s="60">
        <v>24.68</v>
      </c>
      <c r="W17" s="67">
        <v>757</v>
      </c>
      <c r="X17" s="69">
        <v>18.925000000000001</v>
      </c>
      <c r="Y17" s="67">
        <v>97.025690703883114</v>
      </c>
      <c r="Z17" s="72">
        <v>111.6</v>
      </c>
      <c r="AA17" s="116">
        <v>91</v>
      </c>
      <c r="AB17" s="116">
        <v>90</v>
      </c>
      <c r="AC17" s="116">
        <v>19</v>
      </c>
      <c r="AD17" s="113">
        <f t="shared" si="0"/>
        <v>202.6</v>
      </c>
      <c r="AE17" s="113">
        <f t="shared" si="1"/>
        <v>201.6</v>
      </c>
      <c r="AF17" s="113">
        <f t="shared" si="2"/>
        <v>130.6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2.7549999999999999</v>
      </c>
      <c r="F18" s="48">
        <v>2.6310249999999997</v>
      </c>
      <c r="G18" s="28">
        <v>3.14</v>
      </c>
      <c r="H18" s="49">
        <v>8.2614184999999996</v>
      </c>
      <c r="I18" s="43">
        <v>0.43554720812499992</v>
      </c>
      <c r="J18" s="28">
        <v>19.55</v>
      </c>
      <c r="K18" s="54">
        <v>8.5149479188437489</v>
      </c>
      <c r="L18" s="52">
        <v>2.0965481668749999</v>
      </c>
      <c r="M18" s="28">
        <v>2.23</v>
      </c>
      <c r="N18" s="49">
        <v>4.6753024121312494</v>
      </c>
      <c r="O18" s="43">
        <v>5.51</v>
      </c>
      <c r="P18" s="28">
        <v>5.67</v>
      </c>
      <c r="Q18" s="54">
        <v>31.241699999999998</v>
      </c>
      <c r="R18" s="60">
        <v>21.451668830974999</v>
      </c>
      <c r="S18" s="62">
        <v>0.53447683312499983</v>
      </c>
      <c r="T18" s="60">
        <v>2.8396754143931235</v>
      </c>
      <c r="U18" s="62">
        <v>55.533044245368117</v>
      </c>
      <c r="V18" s="60">
        <v>31.35</v>
      </c>
      <c r="W18" s="67">
        <v>757</v>
      </c>
      <c r="X18" s="69">
        <v>18.925000000000001</v>
      </c>
      <c r="Y18" s="67">
        <v>105.80804424536812</v>
      </c>
      <c r="Z18" s="72">
        <v>121.7</v>
      </c>
      <c r="AA18" s="116">
        <v>91</v>
      </c>
      <c r="AB18" s="116">
        <v>90</v>
      </c>
      <c r="AC18" s="116">
        <v>19</v>
      </c>
      <c r="AD18" s="113">
        <f t="shared" si="0"/>
        <v>212.7</v>
      </c>
      <c r="AE18" s="113">
        <f t="shared" si="1"/>
        <v>211.7</v>
      </c>
      <c r="AF18" s="113">
        <f t="shared" si="2"/>
        <v>140.69999999999999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2.8</v>
      </c>
      <c r="F19" s="48">
        <v>2.8</v>
      </c>
      <c r="G19" s="28">
        <v>3.14</v>
      </c>
      <c r="H19" s="49">
        <v>8.7919999999999998</v>
      </c>
      <c r="I19" s="43">
        <v>0.47440000000000004</v>
      </c>
      <c r="J19" s="28">
        <v>19.55</v>
      </c>
      <c r="K19" s="54">
        <v>9.2745200000000008</v>
      </c>
      <c r="L19" s="52">
        <v>2.1999999999999997</v>
      </c>
      <c r="M19" s="28">
        <v>2.23</v>
      </c>
      <c r="N19" s="49">
        <v>4.9059999999999997</v>
      </c>
      <c r="O19" s="43">
        <v>5.6</v>
      </c>
      <c r="P19" s="28">
        <v>5.67</v>
      </c>
      <c r="Q19" s="54">
        <v>31.751999999999999</v>
      </c>
      <c r="R19" s="60">
        <v>22.972519999999999</v>
      </c>
      <c r="S19" s="62">
        <v>0.60000000000000009</v>
      </c>
      <c r="T19" s="60">
        <v>3.1878000000000002</v>
      </c>
      <c r="U19" s="62">
        <v>57.912320000000001</v>
      </c>
      <c r="V19" s="60">
        <v>38.44</v>
      </c>
      <c r="W19" s="67">
        <v>757</v>
      </c>
      <c r="X19" s="69">
        <v>18.925000000000001</v>
      </c>
      <c r="Y19" s="67">
        <v>115.27731999999999</v>
      </c>
      <c r="Z19" s="72">
        <v>132.6</v>
      </c>
      <c r="AA19" s="116">
        <v>105</v>
      </c>
      <c r="AB19" s="116">
        <v>103</v>
      </c>
      <c r="AC19" s="116">
        <v>22</v>
      </c>
      <c r="AD19" s="113">
        <f t="shared" si="0"/>
        <v>237.6</v>
      </c>
      <c r="AE19" s="113">
        <f t="shared" si="1"/>
        <v>235.6</v>
      </c>
      <c r="AF19" s="113">
        <f t="shared" si="2"/>
        <v>154.6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2.9</v>
      </c>
      <c r="F20" s="48">
        <v>3.19</v>
      </c>
      <c r="G20" s="28">
        <v>3.14</v>
      </c>
      <c r="H20" s="49">
        <v>10.0166</v>
      </c>
      <c r="I20" s="43">
        <v>0.55412499999999998</v>
      </c>
      <c r="J20" s="28">
        <v>19.55</v>
      </c>
      <c r="K20" s="54">
        <v>10.83314375</v>
      </c>
      <c r="L20" s="52">
        <v>2.4396249999999999</v>
      </c>
      <c r="M20" s="28">
        <v>2.23</v>
      </c>
      <c r="N20" s="49">
        <v>5.4403637499999995</v>
      </c>
      <c r="O20" s="43">
        <v>5.8</v>
      </c>
      <c r="P20" s="28">
        <v>5.67</v>
      </c>
      <c r="Q20" s="54">
        <v>32.885999999999996</v>
      </c>
      <c r="R20" s="60">
        <v>26.290107500000001</v>
      </c>
      <c r="S20" s="62">
        <v>0.75037500000000001</v>
      </c>
      <c r="T20" s="60">
        <v>3.9867423749999999</v>
      </c>
      <c r="U20" s="62">
        <v>63.162849874999999</v>
      </c>
      <c r="V20" s="60">
        <v>70.239999999999995</v>
      </c>
      <c r="W20" s="67">
        <v>757</v>
      </c>
      <c r="X20" s="69">
        <v>18.925000000000001</v>
      </c>
      <c r="Y20" s="67">
        <v>152.327849875</v>
      </c>
      <c r="Z20" s="72">
        <v>175.2</v>
      </c>
      <c r="AA20" s="116">
        <v>105</v>
      </c>
      <c r="AB20" s="116">
        <v>103</v>
      </c>
      <c r="AC20" s="116">
        <v>22</v>
      </c>
      <c r="AD20" s="113">
        <f t="shared" si="0"/>
        <v>280.2</v>
      </c>
      <c r="AE20" s="113">
        <f t="shared" si="1"/>
        <v>278.2</v>
      </c>
      <c r="AF20" s="113">
        <f t="shared" si="2"/>
        <v>197.2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85">
        <v>3</v>
      </c>
      <c r="F21" s="50">
        <v>3.5999999999999996</v>
      </c>
      <c r="G21" s="32">
        <v>3.14</v>
      </c>
      <c r="H21" s="51">
        <v>11.303999999999998</v>
      </c>
      <c r="I21" s="44">
        <v>0.6208800000000001</v>
      </c>
      <c r="J21" s="32">
        <v>19.55</v>
      </c>
      <c r="K21" s="55">
        <v>12.138204000000002</v>
      </c>
      <c r="L21" s="58">
        <v>2.6965199999999996</v>
      </c>
      <c r="M21" s="32">
        <v>2.23</v>
      </c>
      <c r="N21" s="51">
        <v>6.0132395999999995</v>
      </c>
      <c r="O21" s="44">
        <v>6</v>
      </c>
      <c r="P21" s="32">
        <v>5.67</v>
      </c>
      <c r="Q21" s="55">
        <v>34.019999999999996</v>
      </c>
      <c r="R21" s="61">
        <v>29.455443599999999</v>
      </c>
      <c r="S21" s="63">
        <v>0.90348000000000006</v>
      </c>
      <c r="T21" s="61">
        <v>4.8001892399999999</v>
      </c>
      <c r="U21" s="63">
        <v>68.275632839999986</v>
      </c>
      <c r="V21" s="61">
        <v>87.89</v>
      </c>
      <c r="W21" s="68">
        <v>757</v>
      </c>
      <c r="X21" s="70">
        <v>18.925000000000001</v>
      </c>
      <c r="Y21" s="68">
        <v>175.09063284000001</v>
      </c>
      <c r="Z21" s="72">
        <v>201.4</v>
      </c>
      <c r="AA21" s="116">
        <v>123</v>
      </c>
      <c r="AB21" s="116">
        <v>121</v>
      </c>
      <c r="AC21" s="116">
        <v>26</v>
      </c>
      <c r="AD21" s="113">
        <f t="shared" si="0"/>
        <v>324.39999999999998</v>
      </c>
      <c r="AE21" s="113">
        <f t="shared" si="1"/>
        <v>322.39999999999998</v>
      </c>
      <c r="AF21" s="113">
        <f t="shared" si="2"/>
        <v>227.4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3.1</v>
      </c>
      <c r="F22" s="52">
        <v>4.0299999999999994</v>
      </c>
      <c r="G22" s="28">
        <v>3.14</v>
      </c>
      <c r="H22" s="49">
        <v>12.654199999999998</v>
      </c>
      <c r="I22" s="43">
        <v>0.66995499999999986</v>
      </c>
      <c r="J22" s="28">
        <v>19.55</v>
      </c>
      <c r="K22" s="54">
        <v>13.097620249999999</v>
      </c>
      <c r="L22" s="52">
        <v>2.9753949999999993</v>
      </c>
      <c r="M22" s="28">
        <v>2.23</v>
      </c>
      <c r="N22" s="49">
        <v>6.6351308499999986</v>
      </c>
      <c r="O22" s="43">
        <v>6.2</v>
      </c>
      <c r="P22" s="28">
        <v>5.67</v>
      </c>
      <c r="Q22" s="54">
        <v>35.154000000000003</v>
      </c>
      <c r="R22" s="60">
        <v>32.38695109999999</v>
      </c>
      <c r="S22" s="62">
        <v>1.054605</v>
      </c>
      <c r="T22" s="60">
        <v>5.6031163649999991</v>
      </c>
      <c r="U22" s="62">
        <v>73.144067465000006</v>
      </c>
      <c r="V22" s="60">
        <v>114.2</v>
      </c>
      <c r="W22" s="67">
        <v>989</v>
      </c>
      <c r="X22" s="69">
        <v>24.725000000000001</v>
      </c>
      <c r="Y22" s="67">
        <v>212.06906746500002</v>
      </c>
      <c r="Z22" s="72">
        <v>243.9</v>
      </c>
      <c r="AA22" s="116">
        <v>123</v>
      </c>
      <c r="AB22" s="116">
        <v>121</v>
      </c>
      <c r="AC22" s="116">
        <v>26</v>
      </c>
      <c r="AD22" s="113">
        <f t="shared" si="0"/>
        <v>366.9</v>
      </c>
      <c r="AE22" s="113">
        <f t="shared" si="1"/>
        <v>364.9</v>
      </c>
      <c r="AF22" s="113">
        <f t="shared" si="2"/>
        <v>269.89999999999998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3.1999999999999997</v>
      </c>
      <c r="F23" s="48">
        <v>4.4799999999999995</v>
      </c>
      <c r="G23" s="28">
        <v>3.14</v>
      </c>
      <c r="H23" s="49">
        <v>14.0672</v>
      </c>
      <c r="I23" s="43">
        <v>0.69663999999999981</v>
      </c>
      <c r="J23" s="28">
        <v>19.55</v>
      </c>
      <c r="K23" s="54">
        <v>13.619311999999997</v>
      </c>
      <c r="L23" s="52">
        <v>3.2809599999999994</v>
      </c>
      <c r="M23" s="28">
        <v>2.23</v>
      </c>
      <c r="N23" s="49">
        <v>7.3165407999999985</v>
      </c>
      <c r="O23" s="43">
        <v>6.3999999999999995</v>
      </c>
      <c r="P23" s="28">
        <v>5.67</v>
      </c>
      <c r="Q23" s="54">
        <v>36.287999999999997</v>
      </c>
      <c r="R23" s="60">
        <v>35.003052799999992</v>
      </c>
      <c r="S23" s="62">
        <v>1.1990400000000001</v>
      </c>
      <c r="T23" s="60">
        <v>6.3704995200000001</v>
      </c>
      <c r="U23" s="62">
        <v>77.661552319999984</v>
      </c>
      <c r="V23" s="60">
        <v>140.9</v>
      </c>
      <c r="W23" s="67">
        <v>989</v>
      </c>
      <c r="X23" s="69">
        <v>24.725000000000001</v>
      </c>
      <c r="Y23" s="67">
        <v>243.28655231999997</v>
      </c>
      <c r="Z23" s="72">
        <v>279.8</v>
      </c>
      <c r="AA23" s="116">
        <v>145</v>
      </c>
      <c r="AB23" s="116">
        <v>143</v>
      </c>
      <c r="AC23" s="116">
        <v>30</v>
      </c>
      <c r="AD23" s="113">
        <f t="shared" si="0"/>
        <v>424.8</v>
      </c>
      <c r="AE23" s="113">
        <f t="shared" si="1"/>
        <v>422.8</v>
      </c>
      <c r="AF23" s="113">
        <f t="shared" si="2"/>
        <v>309.8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3.3</v>
      </c>
      <c r="F24" s="48">
        <v>4.9499999999999993</v>
      </c>
      <c r="G24" s="28">
        <v>3.14</v>
      </c>
      <c r="H24" s="49">
        <v>15.542999999999999</v>
      </c>
      <c r="I24" s="43">
        <v>0.69622500000000009</v>
      </c>
      <c r="J24" s="28">
        <v>19.55</v>
      </c>
      <c r="K24" s="54">
        <v>13.611198750000002</v>
      </c>
      <c r="L24" s="52">
        <v>3.6179249999999992</v>
      </c>
      <c r="M24" s="28">
        <v>2.23</v>
      </c>
      <c r="N24" s="49">
        <v>8.0679727499999974</v>
      </c>
      <c r="O24" s="43">
        <v>6.6</v>
      </c>
      <c r="P24" s="28">
        <v>5.67</v>
      </c>
      <c r="Q24" s="54">
        <v>37.421999999999997</v>
      </c>
      <c r="R24" s="60">
        <v>37.222171499999995</v>
      </c>
      <c r="S24" s="62">
        <v>1.3320750000000001</v>
      </c>
      <c r="T24" s="60">
        <v>7.0773144750000005</v>
      </c>
      <c r="U24" s="62">
        <v>81.721485974999993</v>
      </c>
      <c r="V24" s="60">
        <v>149</v>
      </c>
      <c r="W24" s="67">
        <v>989</v>
      </c>
      <c r="X24" s="69">
        <v>24.725000000000001</v>
      </c>
      <c r="Y24" s="67">
        <v>255.446485975</v>
      </c>
      <c r="Z24" s="72">
        <v>293.7</v>
      </c>
      <c r="AA24" s="116">
        <v>145</v>
      </c>
      <c r="AB24" s="116">
        <v>143</v>
      </c>
      <c r="AC24" s="116">
        <v>30</v>
      </c>
      <c r="AD24" s="113">
        <f t="shared" si="0"/>
        <v>438.7</v>
      </c>
      <c r="AE24" s="113">
        <f t="shared" si="1"/>
        <v>436.7</v>
      </c>
      <c r="AF24" s="113">
        <f t="shared" si="2"/>
        <v>323.7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3.4</v>
      </c>
      <c r="F25" s="48">
        <v>5.44</v>
      </c>
      <c r="G25" s="28">
        <v>3.14</v>
      </c>
      <c r="H25" s="49">
        <v>17.081600000000002</v>
      </c>
      <c r="I25" s="43">
        <v>0.66399999999999992</v>
      </c>
      <c r="J25" s="28">
        <v>19.55</v>
      </c>
      <c r="K25" s="54">
        <v>12.981199999999999</v>
      </c>
      <c r="L25" s="52">
        <v>3.9910000000000005</v>
      </c>
      <c r="M25" s="28">
        <v>2.23</v>
      </c>
      <c r="N25" s="49">
        <v>8.8999300000000012</v>
      </c>
      <c r="O25" s="43">
        <v>6.8</v>
      </c>
      <c r="P25" s="28">
        <v>5.67</v>
      </c>
      <c r="Q25" s="54">
        <v>38.555999999999997</v>
      </c>
      <c r="R25" s="60">
        <v>38.962730000000008</v>
      </c>
      <c r="S25" s="62">
        <v>1.4489999999999998</v>
      </c>
      <c r="T25" s="60">
        <v>7.6985369999999991</v>
      </c>
      <c r="U25" s="62">
        <v>85.217267000000007</v>
      </c>
      <c r="V25" s="60">
        <v>166.5</v>
      </c>
      <c r="W25" s="67">
        <v>989</v>
      </c>
      <c r="X25" s="69">
        <v>24.725000000000001</v>
      </c>
      <c r="Y25" s="67">
        <v>276.44226700000002</v>
      </c>
      <c r="Z25" s="72">
        <v>317.89999999999998</v>
      </c>
      <c r="AA25" s="116">
        <v>171</v>
      </c>
      <c r="AB25" s="116">
        <v>169</v>
      </c>
      <c r="AC25" s="116">
        <v>34</v>
      </c>
      <c r="AD25" s="113">
        <f t="shared" si="0"/>
        <v>488.9</v>
      </c>
      <c r="AE25" s="113">
        <f t="shared" si="1"/>
        <v>486.9</v>
      </c>
      <c r="AF25" s="113">
        <f t="shared" si="2"/>
        <v>351.9</v>
      </c>
    </row>
    <row r="26" spans="1:32" s="37" customFormat="1" ht="13.5" thickBot="1" x14ac:dyDescent="0.25">
      <c r="A26" s="36"/>
      <c r="B26" s="39">
        <v>1250</v>
      </c>
      <c r="C26" s="77">
        <v>1.25</v>
      </c>
      <c r="D26" s="31">
        <v>1.85</v>
      </c>
      <c r="E26" s="75">
        <v>3.65</v>
      </c>
      <c r="F26" s="50">
        <v>6.7525000000000004</v>
      </c>
      <c r="G26" s="32">
        <v>3.14</v>
      </c>
      <c r="H26" s="51">
        <v>21.202850000000002</v>
      </c>
      <c r="I26" s="44">
        <v>0.41335937499999992</v>
      </c>
      <c r="J26" s="32">
        <v>19.55</v>
      </c>
      <c r="K26" s="55">
        <v>8.081175781249998</v>
      </c>
      <c r="L26" s="58">
        <v>5.1125781250000006</v>
      </c>
      <c r="M26" s="32">
        <v>2.23</v>
      </c>
      <c r="N26" s="51">
        <v>11.401049218750002</v>
      </c>
      <c r="O26" s="44">
        <v>7.3</v>
      </c>
      <c r="P26" s="32">
        <v>5.67</v>
      </c>
      <c r="Q26" s="55">
        <v>41.390999999999998</v>
      </c>
      <c r="R26" s="61">
        <v>40.685075000000005</v>
      </c>
      <c r="S26" s="63">
        <v>1.6399218749999998</v>
      </c>
      <c r="T26" s="61">
        <v>8.7129049218749994</v>
      </c>
      <c r="U26" s="63">
        <v>90.788979921874997</v>
      </c>
      <c r="V26" s="61">
        <v>203.43</v>
      </c>
      <c r="W26" s="68">
        <v>989</v>
      </c>
      <c r="X26" s="71">
        <v>24.725000000000001</v>
      </c>
      <c r="Y26" s="68">
        <v>318.94397992187504</v>
      </c>
      <c r="Z26" s="72">
        <v>366.8</v>
      </c>
      <c r="AA26" s="117">
        <v>171</v>
      </c>
      <c r="AB26" s="117">
        <v>169</v>
      </c>
      <c r="AC26" s="117">
        <v>34</v>
      </c>
      <c r="AD26" s="114">
        <f t="shared" si="0"/>
        <v>537.79999999999995</v>
      </c>
      <c r="AE26" s="114">
        <f t="shared" si="1"/>
        <v>535.79999999999995</v>
      </c>
      <c r="AF26" s="114">
        <f t="shared" si="2"/>
        <v>400.8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26"/>
  <sheetViews>
    <sheetView view="pageBreakPreview" zoomScaleNormal="75" zoomScaleSheetLayoutView="100" workbookViewId="0">
      <pane xSplit="5" ySplit="13" topLeftCell="O17" activePane="bottomRight" state="frozen"/>
      <selection pane="topRight" activeCell="F1" sqref="F1"/>
      <selection pane="bottomLeft" activeCell="A14" sqref="A14"/>
      <selection pane="bottomRight" activeCell="A20" sqref="A20:XFD20"/>
    </sheetView>
  </sheetViews>
  <sheetFormatPr defaultRowHeight="12.75" x14ac:dyDescent="0.2"/>
  <cols>
    <col min="1" max="1" width="3.42578125" style="24" customWidth="1"/>
    <col min="2" max="2" width="6.28515625" style="1" customWidth="1"/>
    <col min="3" max="3" width="6.5703125" style="1" customWidth="1"/>
    <col min="4" max="4" width="7.140625" style="25" customWidth="1"/>
    <col min="5" max="6" width="6.5703125" style="1" customWidth="1"/>
    <col min="7" max="7" width="6.85546875" style="1" customWidth="1"/>
    <col min="8" max="8" width="7" style="1" customWidth="1"/>
    <col min="9" max="9" width="6.5703125" style="1" customWidth="1"/>
    <col min="10" max="10" width="7.28515625" style="1" customWidth="1"/>
    <col min="11" max="11" width="7.42578125" style="1" customWidth="1"/>
    <col min="12" max="12" width="8.140625" style="1" customWidth="1"/>
    <col min="13" max="13" width="7.85546875" style="1" customWidth="1"/>
    <col min="14" max="14" width="7.140625" style="1" customWidth="1"/>
    <col min="15" max="15" width="8.7109375" style="1" customWidth="1"/>
    <col min="16" max="16" width="7.140625" style="1" customWidth="1"/>
    <col min="17" max="17" width="8.5703125" style="1" customWidth="1"/>
    <col min="18" max="18" width="8.5703125" style="1" hidden="1" customWidth="1"/>
    <col min="19" max="19" width="10.140625" style="1" hidden="1" customWidth="1"/>
    <col min="20" max="20" width="12.140625" style="1" hidden="1" customWidth="1"/>
    <col min="21" max="21" width="9.7109375" style="1" hidden="1" customWidth="1"/>
    <col min="22" max="22" width="10.85546875" style="1" hidden="1" customWidth="1"/>
    <col min="23" max="23" width="9.5703125" style="1" hidden="1" customWidth="1"/>
    <col min="24" max="24" width="8.5703125" style="1" customWidth="1"/>
    <col min="25" max="25" width="9.85546875" style="1" customWidth="1"/>
    <col min="26" max="26" width="8.5703125" style="1" customWidth="1"/>
  </cols>
  <sheetData>
    <row r="1" spans="1:32" ht="35.25" customHeight="1" x14ac:dyDescent="0.2">
      <c r="A1" s="1065" t="s">
        <v>26</v>
      </c>
      <c r="B1" s="1065"/>
      <c r="C1" s="1065"/>
      <c r="D1" s="1065"/>
      <c r="E1" s="1065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066" t="s">
        <v>17</v>
      </c>
      <c r="B4" s="1066"/>
      <c r="C4" s="1066"/>
      <c r="D4" s="1066"/>
      <c r="E4" s="1066"/>
      <c r="F4" s="1066"/>
      <c r="G4" s="1066"/>
      <c r="H4" s="1066"/>
      <c r="I4" s="1066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3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3.25" customHeight="1" thickBot="1" x14ac:dyDescent="0.25">
      <c r="B11" s="1059" t="s">
        <v>24</v>
      </c>
      <c r="C11" s="1060"/>
      <c r="D11" s="1060"/>
      <c r="E11" s="1061"/>
      <c r="F11" s="1059" t="s">
        <v>1</v>
      </c>
      <c r="G11" s="1060"/>
      <c r="H11" s="1061"/>
      <c r="I11" s="1059" t="s">
        <v>2</v>
      </c>
      <c r="J11" s="1060"/>
      <c r="K11" s="1061"/>
      <c r="L11" s="1059" t="s">
        <v>3</v>
      </c>
      <c r="M11" s="1060"/>
      <c r="N11" s="1061"/>
      <c r="O11" s="1059" t="s">
        <v>4</v>
      </c>
      <c r="P11" s="1060"/>
      <c r="Q11" s="1060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39</v>
      </c>
      <c r="AA11" s="1059" t="s">
        <v>93</v>
      </c>
      <c r="AB11" s="1060"/>
      <c r="AC11" s="1061"/>
      <c r="AD11" s="1062" t="s">
        <v>97</v>
      </c>
      <c r="AE11" s="1063"/>
      <c r="AF11" s="1064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16" t="s">
        <v>6</v>
      </c>
      <c r="L12" s="15"/>
      <c r="M12" s="16" t="s">
        <v>6</v>
      </c>
      <c r="N12" s="16" t="s">
        <v>6</v>
      </c>
      <c r="O12" s="15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1" t="s">
        <v>12</v>
      </c>
      <c r="L13" s="79" t="s">
        <v>14</v>
      </c>
      <c r="M13" s="21" t="s">
        <v>11</v>
      </c>
      <c r="N13" s="21" t="s">
        <v>12</v>
      </c>
      <c r="O13" s="79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3.06</v>
      </c>
      <c r="F14" s="48">
        <v>2.3256000000000001</v>
      </c>
      <c r="G14" s="28">
        <v>3.14</v>
      </c>
      <c r="H14" s="49">
        <v>7.3023840000000009</v>
      </c>
      <c r="I14" s="43">
        <v>0.25832704000000001</v>
      </c>
      <c r="J14" s="28">
        <v>19.55</v>
      </c>
      <c r="K14" s="54">
        <v>5.0502936320000007</v>
      </c>
      <c r="L14" s="45">
        <v>2.0471769599999998</v>
      </c>
      <c r="M14" s="46">
        <v>2.23</v>
      </c>
      <c r="N14" s="47">
        <v>4.5652046207999994</v>
      </c>
      <c r="O14" s="43">
        <v>6.12</v>
      </c>
      <c r="P14" s="28">
        <v>5.67</v>
      </c>
      <c r="Q14" s="54">
        <v>34.700400000000002</v>
      </c>
      <c r="R14" s="59">
        <v>16.917882252800002</v>
      </c>
      <c r="S14" s="62">
        <v>0.27842304000000029</v>
      </c>
      <c r="T14" s="60">
        <v>1.4792616115200017</v>
      </c>
      <c r="U14" s="62">
        <v>53.097543864320002</v>
      </c>
      <c r="V14" s="60">
        <v>9.8699999999999992</v>
      </c>
      <c r="W14" s="67">
        <v>757</v>
      </c>
      <c r="X14" s="69">
        <v>18.925000000000001</v>
      </c>
      <c r="Y14" s="67">
        <v>81.892543864320004</v>
      </c>
      <c r="Z14" s="72">
        <v>94.2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167.2</v>
      </c>
      <c r="AE14" s="112">
        <f t="shared" ref="AE14:AE26" si="1">(Z14+AB14)*$AF$7</f>
        <v>166.2</v>
      </c>
      <c r="AF14" s="112">
        <f t="shared" ref="AF14:AF26" si="2">(Z14+AC14)*$AF$7</f>
        <v>109.2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3.1</v>
      </c>
      <c r="F15" s="48">
        <v>2.4800000000000004</v>
      </c>
      <c r="G15" s="28">
        <v>3.14</v>
      </c>
      <c r="H15" s="49">
        <v>7.7872000000000012</v>
      </c>
      <c r="I15" s="43">
        <v>0.29488000000000003</v>
      </c>
      <c r="J15" s="28">
        <v>19.55</v>
      </c>
      <c r="K15" s="54">
        <v>5.7649040000000005</v>
      </c>
      <c r="L15" s="52">
        <v>2.1537200000000003</v>
      </c>
      <c r="M15" s="28">
        <v>2.23</v>
      </c>
      <c r="N15" s="49">
        <v>4.8027956000000005</v>
      </c>
      <c r="O15" s="43">
        <v>6.2</v>
      </c>
      <c r="P15" s="28">
        <v>5.67</v>
      </c>
      <c r="Q15" s="54">
        <v>35.154000000000003</v>
      </c>
      <c r="R15" s="60">
        <v>18.354899600000003</v>
      </c>
      <c r="S15" s="62">
        <v>0.32628000000000013</v>
      </c>
      <c r="T15" s="60">
        <v>1.7335256400000005</v>
      </c>
      <c r="U15" s="62">
        <v>55.24242524000001</v>
      </c>
      <c r="V15" s="60">
        <v>11.9</v>
      </c>
      <c r="W15" s="67">
        <v>757</v>
      </c>
      <c r="X15" s="69">
        <v>18.925000000000001</v>
      </c>
      <c r="Y15" s="67">
        <v>86.067425240000006</v>
      </c>
      <c r="Z15" s="72">
        <v>99</v>
      </c>
      <c r="AA15" s="116">
        <v>82</v>
      </c>
      <c r="AB15" s="116">
        <v>81</v>
      </c>
      <c r="AC15" s="116">
        <v>17</v>
      </c>
      <c r="AD15" s="113">
        <f t="shared" si="0"/>
        <v>181</v>
      </c>
      <c r="AE15" s="113">
        <f t="shared" si="1"/>
        <v>180</v>
      </c>
      <c r="AF15" s="113">
        <f t="shared" si="2"/>
        <v>116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3.15</v>
      </c>
      <c r="F16" s="48">
        <v>2.6774999999999998</v>
      </c>
      <c r="G16" s="28">
        <v>3.14</v>
      </c>
      <c r="H16" s="49">
        <v>8.4073499999999992</v>
      </c>
      <c r="I16" s="43">
        <v>0.340796875</v>
      </c>
      <c r="J16" s="28">
        <v>19.55</v>
      </c>
      <c r="K16" s="54">
        <v>6.6625789062500003</v>
      </c>
      <c r="L16" s="52">
        <v>2.2876406249999999</v>
      </c>
      <c r="M16" s="28">
        <v>2.23</v>
      </c>
      <c r="N16" s="49">
        <v>5.1014385937499993</v>
      </c>
      <c r="O16" s="43">
        <v>6.3</v>
      </c>
      <c r="P16" s="28">
        <v>5.67</v>
      </c>
      <c r="Q16" s="54">
        <v>35.720999999999997</v>
      </c>
      <c r="R16" s="60">
        <v>20.171367499999999</v>
      </c>
      <c r="S16" s="62">
        <v>0.3898593749999999</v>
      </c>
      <c r="T16" s="60">
        <v>2.0713228593749995</v>
      </c>
      <c r="U16" s="62">
        <v>57.963690359374993</v>
      </c>
      <c r="V16" s="60">
        <v>17</v>
      </c>
      <c r="W16" s="67">
        <v>757</v>
      </c>
      <c r="X16" s="69">
        <v>18.925000000000001</v>
      </c>
      <c r="Y16" s="67">
        <v>93.888690359374991</v>
      </c>
      <c r="Z16" s="72">
        <v>108</v>
      </c>
      <c r="AA16" s="116">
        <v>82</v>
      </c>
      <c r="AB16" s="116">
        <v>81</v>
      </c>
      <c r="AC16" s="116">
        <v>17</v>
      </c>
      <c r="AD16" s="113">
        <f t="shared" si="0"/>
        <v>190</v>
      </c>
      <c r="AE16" s="113">
        <f t="shared" si="1"/>
        <v>189</v>
      </c>
      <c r="AF16" s="113">
        <f t="shared" si="2"/>
        <v>125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3.2149999999999999</v>
      </c>
      <c r="F17" s="48">
        <v>2.9417249999999999</v>
      </c>
      <c r="G17" s="28">
        <v>3.14</v>
      </c>
      <c r="H17" s="49">
        <v>9.2370164999999993</v>
      </c>
      <c r="I17" s="43">
        <v>0.39995416312499998</v>
      </c>
      <c r="J17" s="28">
        <v>19.55</v>
      </c>
      <c r="K17" s="54">
        <v>7.8191038890937499</v>
      </c>
      <c r="L17" s="52">
        <v>2.4638792118750001</v>
      </c>
      <c r="M17" s="28">
        <v>2.23</v>
      </c>
      <c r="N17" s="49">
        <v>5.49445064248125</v>
      </c>
      <c r="O17" s="43">
        <v>6.43</v>
      </c>
      <c r="P17" s="28">
        <v>5.67</v>
      </c>
      <c r="Q17" s="54">
        <v>36.458099999999995</v>
      </c>
      <c r="R17" s="60">
        <v>22.550571031575</v>
      </c>
      <c r="S17" s="62">
        <v>0.47784578812499978</v>
      </c>
      <c r="T17" s="60">
        <v>2.5387946723081236</v>
      </c>
      <c r="U17" s="62">
        <v>61.547465703883113</v>
      </c>
      <c r="V17" s="60">
        <v>24.68</v>
      </c>
      <c r="W17" s="67">
        <v>757</v>
      </c>
      <c r="X17" s="69">
        <v>18.925000000000001</v>
      </c>
      <c r="Y17" s="67">
        <v>105.15246570388311</v>
      </c>
      <c r="Z17" s="72">
        <v>120.9</v>
      </c>
      <c r="AA17" s="116">
        <v>91</v>
      </c>
      <c r="AB17" s="116">
        <v>90</v>
      </c>
      <c r="AC17" s="116">
        <v>19</v>
      </c>
      <c r="AD17" s="113">
        <f t="shared" si="0"/>
        <v>211.9</v>
      </c>
      <c r="AE17" s="113">
        <f t="shared" si="1"/>
        <v>210.9</v>
      </c>
      <c r="AF17" s="113">
        <f t="shared" si="2"/>
        <v>139.9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3.2549999999999999</v>
      </c>
      <c r="F18" s="48">
        <v>3.1085249999999998</v>
      </c>
      <c r="G18" s="28">
        <v>3.14</v>
      </c>
      <c r="H18" s="49">
        <v>9.7607684999999993</v>
      </c>
      <c r="I18" s="43">
        <v>0.43554720812499992</v>
      </c>
      <c r="J18" s="28">
        <v>19.55</v>
      </c>
      <c r="K18" s="54">
        <v>8.5149479188437489</v>
      </c>
      <c r="L18" s="52">
        <v>2.5740481668749999</v>
      </c>
      <c r="M18" s="28">
        <v>2.23</v>
      </c>
      <c r="N18" s="49">
        <v>5.7401274121312502</v>
      </c>
      <c r="O18" s="43">
        <v>6.51</v>
      </c>
      <c r="P18" s="28">
        <v>5.67</v>
      </c>
      <c r="Q18" s="54">
        <v>36.911699999999996</v>
      </c>
      <c r="R18" s="60">
        <v>24.015843830975001</v>
      </c>
      <c r="S18" s="62">
        <v>0.53447683312499983</v>
      </c>
      <c r="T18" s="60">
        <v>2.8396754143931235</v>
      </c>
      <c r="U18" s="62">
        <v>63.767219245368118</v>
      </c>
      <c r="V18" s="60">
        <v>31.35</v>
      </c>
      <c r="W18" s="67">
        <v>757</v>
      </c>
      <c r="X18" s="69">
        <v>18.925000000000001</v>
      </c>
      <c r="Y18" s="67">
        <v>114.04221924536812</v>
      </c>
      <c r="Z18" s="72">
        <v>131.1</v>
      </c>
      <c r="AA18" s="116">
        <v>91</v>
      </c>
      <c r="AB18" s="116">
        <v>90</v>
      </c>
      <c r="AC18" s="116">
        <v>19</v>
      </c>
      <c r="AD18" s="113">
        <f t="shared" si="0"/>
        <v>222.1</v>
      </c>
      <c r="AE18" s="113">
        <f t="shared" si="1"/>
        <v>221.1</v>
      </c>
      <c r="AF18" s="113">
        <f t="shared" si="2"/>
        <v>150.1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3.3</v>
      </c>
      <c r="F19" s="48">
        <v>3.3</v>
      </c>
      <c r="G19" s="28">
        <v>3.14</v>
      </c>
      <c r="H19" s="49">
        <v>10.362</v>
      </c>
      <c r="I19" s="43">
        <v>0.47440000000000004</v>
      </c>
      <c r="J19" s="28">
        <v>19.55</v>
      </c>
      <c r="K19" s="54">
        <v>9.2745200000000008</v>
      </c>
      <c r="L19" s="52">
        <v>2.6999999999999997</v>
      </c>
      <c r="M19" s="28">
        <v>2.23</v>
      </c>
      <c r="N19" s="49">
        <v>6.020999999999999</v>
      </c>
      <c r="O19" s="43">
        <v>6.6</v>
      </c>
      <c r="P19" s="28">
        <v>5.67</v>
      </c>
      <c r="Q19" s="54">
        <v>37.421999999999997</v>
      </c>
      <c r="R19" s="60">
        <v>25.657519999999998</v>
      </c>
      <c r="S19" s="62">
        <v>0.60000000000000009</v>
      </c>
      <c r="T19" s="60">
        <v>3.1878000000000002</v>
      </c>
      <c r="U19" s="62">
        <v>66.267319999999998</v>
      </c>
      <c r="V19" s="60">
        <v>38.44</v>
      </c>
      <c r="W19" s="67">
        <v>757</v>
      </c>
      <c r="X19" s="69">
        <v>18.925000000000001</v>
      </c>
      <c r="Y19" s="67">
        <v>123.63231999999999</v>
      </c>
      <c r="Z19" s="72">
        <v>142.19999999999999</v>
      </c>
      <c r="AA19" s="116">
        <v>105</v>
      </c>
      <c r="AB19" s="116">
        <v>103</v>
      </c>
      <c r="AC19" s="116">
        <v>22</v>
      </c>
      <c r="AD19" s="113">
        <f t="shared" si="0"/>
        <v>247.2</v>
      </c>
      <c r="AE19" s="113">
        <f t="shared" si="1"/>
        <v>245.2</v>
      </c>
      <c r="AF19" s="113">
        <f t="shared" si="2"/>
        <v>164.2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3.4</v>
      </c>
      <c r="F20" s="48">
        <v>3.74</v>
      </c>
      <c r="G20" s="28">
        <v>3.14</v>
      </c>
      <c r="H20" s="49">
        <v>11.743600000000001</v>
      </c>
      <c r="I20" s="43">
        <v>0.55412499999999998</v>
      </c>
      <c r="J20" s="28">
        <v>19.55</v>
      </c>
      <c r="K20" s="54">
        <v>10.83314375</v>
      </c>
      <c r="L20" s="52">
        <v>2.9896250000000002</v>
      </c>
      <c r="M20" s="28">
        <v>2.23</v>
      </c>
      <c r="N20" s="49">
        <v>6.6668637500000001</v>
      </c>
      <c r="O20" s="43">
        <v>6.8</v>
      </c>
      <c r="P20" s="28">
        <v>5.67</v>
      </c>
      <c r="Q20" s="54">
        <v>38.555999999999997</v>
      </c>
      <c r="R20" s="60">
        <v>29.2436075</v>
      </c>
      <c r="S20" s="62">
        <v>0.75037500000000001</v>
      </c>
      <c r="T20" s="60">
        <v>3.9867423749999999</v>
      </c>
      <c r="U20" s="62">
        <v>71.786349874999999</v>
      </c>
      <c r="V20" s="60">
        <v>70.239999999999995</v>
      </c>
      <c r="W20" s="67">
        <v>757</v>
      </c>
      <c r="X20" s="69">
        <v>18.925000000000001</v>
      </c>
      <c r="Y20" s="67">
        <v>160.95134987500001</v>
      </c>
      <c r="Z20" s="72">
        <v>185.1</v>
      </c>
      <c r="AA20" s="116">
        <v>105</v>
      </c>
      <c r="AB20" s="116">
        <v>103</v>
      </c>
      <c r="AC20" s="116">
        <v>22</v>
      </c>
      <c r="AD20" s="113">
        <f t="shared" si="0"/>
        <v>290.10000000000002</v>
      </c>
      <c r="AE20" s="113">
        <f t="shared" si="1"/>
        <v>288.10000000000002</v>
      </c>
      <c r="AF20" s="113">
        <f t="shared" si="2"/>
        <v>207.1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86">
        <v>3.5</v>
      </c>
      <c r="F21" s="50">
        <v>4.2</v>
      </c>
      <c r="G21" s="32">
        <v>3.14</v>
      </c>
      <c r="H21" s="51">
        <v>13.188000000000001</v>
      </c>
      <c r="I21" s="44">
        <v>0.6208800000000001</v>
      </c>
      <c r="J21" s="32">
        <v>19.55</v>
      </c>
      <c r="K21" s="55">
        <v>12.138204000000002</v>
      </c>
      <c r="L21" s="58">
        <v>3.2965200000000001</v>
      </c>
      <c r="M21" s="32">
        <v>2.23</v>
      </c>
      <c r="N21" s="51">
        <v>7.3512396000000004</v>
      </c>
      <c r="O21" s="44">
        <v>7</v>
      </c>
      <c r="P21" s="32">
        <v>5.67</v>
      </c>
      <c r="Q21" s="55">
        <v>39.69</v>
      </c>
      <c r="R21" s="61">
        <v>32.677443600000004</v>
      </c>
      <c r="S21" s="63">
        <v>0.90348000000000006</v>
      </c>
      <c r="T21" s="61">
        <v>4.8001892399999999</v>
      </c>
      <c r="U21" s="63">
        <v>77.167632839999996</v>
      </c>
      <c r="V21" s="61">
        <v>87.89</v>
      </c>
      <c r="W21" s="68">
        <v>757</v>
      </c>
      <c r="X21" s="70">
        <v>18.925000000000001</v>
      </c>
      <c r="Y21" s="68">
        <v>183.98263284000001</v>
      </c>
      <c r="Z21" s="72">
        <v>211.6</v>
      </c>
      <c r="AA21" s="116">
        <v>123</v>
      </c>
      <c r="AB21" s="116">
        <v>121</v>
      </c>
      <c r="AC21" s="116">
        <v>26</v>
      </c>
      <c r="AD21" s="113">
        <f t="shared" si="0"/>
        <v>334.6</v>
      </c>
      <c r="AE21" s="113">
        <f t="shared" si="1"/>
        <v>332.6</v>
      </c>
      <c r="AF21" s="113">
        <f t="shared" si="2"/>
        <v>237.6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3.6</v>
      </c>
      <c r="F22" s="52">
        <v>4.68</v>
      </c>
      <c r="G22" s="28">
        <v>3.14</v>
      </c>
      <c r="H22" s="49">
        <v>14.6952</v>
      </c>
      <c r="I22" s="43">
        <v>0.66995499999999986</v>
      </c>
      <c r="J22" s="28">
        <v>19.55</v>
      </c>
      <c r="K22" s="54">
        <v>13.097620249999999</v>
      </c>
      <c r="L22" s="52">
        <v>3.6253949999999997</v>
      </c>
      <c r="M22" s="28">
        <v>2.23</v>
      </c>
      <c r="N22" s="49">
        <v>8.0846308499999999</v>
      </c>
      <c r="O22" s="43">
        <v>7.2</v>
      </c>
      <c r="P22" s="28">
        <v>5.67</v>
      </c>
      <c r="Q22" s="54">
        <v>40.823999999999998</v>
      </c>
      <c r="R22" s="60">
        <v>35.877451100000002</v>
      </c>
      <c r="S22" s="62">
        <v>1.054605</v>
      </c>
      <c r="T22" s="60">
        <v>5.6031163649999991</v>
      </c>
      <c r="U22" s="62">
        <v>82.304567465000005</v>
      </c>
      <c r="V22" s="60">
        <v>114.2</v>
      </c>
      <c r="W22" s="67">
        <v>989</v>
      </c>
      <c r="X22" s="69">
        <v>24.725000000000001</v>
      </c>
      <c r="Y22" s="67">
        <v>221.229567465</v>
      </c>
      <c r="Z22" s="72">
        <v>254.4</v>
      </c>
      <c r="AA22" s="116">
        <v>123</v>
      </c>
      <c r="AB22" s="116">
        <v>121</v>
      </c>
      <c r="AC22" s="116">
        <v>26</v>
      </c>
      <c r="AD22" s="113">
        <f t="shared" si="0"/>
        <v>377.4</v>
      </c>
      <c r="AE22" s="113">
        <f t="shared" si="1"/>
        <v>375.4</v>
      </c>
      <c r="AF22" s="113">
        <f t="shared" si="2"/>
        <v>280.39999999999998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3.6999999999999997</v>
      </c>
      <c r="F23" s="48">
        <v>5.18</v>
      </c>
      <c r="G23" s="28">
        <v>3.14</v>
      </c>
      <c r="H23" s="49">
        <v>16.2652</v>
      </c>
      <c r="I23" s="43">
        <v>0.69663999999999981</v>
      </c>
      <c r="J23" s="28">
        <v>19.55</v>
      </c>
      <c r="K23" s="54">
        <v>13.619311999999997</v>
      </c>
      <c r="L23" s="52">
        <v>3.9809600000000001</v>
      </c>
      <c r="M23" s="28">
        <v>2.23</v>
      </c>
      <c r="N23" s="49">
        <v>8.8775408000000002</v>
      </c>
      <c r="O23" s="43">
        <v>7.3999999999999995</v>
      </c>
      <c r="P23" s="28">
        <v>5.67</v>
      </c>
      <c r="Q23" s="54">
        <v>41.957999999999998</v>
      </c>
      <c r="R23" s="60">
        <v>38.762052799999999</v>
      </c>
      <c r="S23" s="62">
        <v>1.1990399999999997</v>
      </c>
      <c r="T23" s="60">
        <v>6.3704995199999974</v>
      </c>
      <c r="U23" s="62">
        <v>87.090552319999986</v>
      </c>
      <c r="V23" s="60">
        <v>140.9</v>
      </c>
      <c r="W23" s="67">
        <v>989</v>
      </c>
      <c r="X23" s="69">
        <v>24.725000000000001</v>
      </c>
      <c r="Y23" s="67">
        <v>252.71555232</v>
      </c>
      <c r="Z23" s="72">
        <v>290.60000000000002</v>
      </c>
      <c r="AA23" s="116">
        <v>145</v>
      </c>
      <c r="AB23" s="116">
        <v>143</v>
      </c>
      <c r="AC23" s="116">
        <v>30</v>
      </c>
      <c r="AD23" s="113">
        <f t="shared" si="0"/>
        <v>435.6</v>
      </c>
      <c r="AE23" s="113">
        <f t="shared" si="1"/>
        <v>433.6</v>
      </c>
      <c r="AF23" s="113">
        <f t="shared" si="2"/>
        <v>320.60000000000002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3.8</v>
      </c>
      <c r="F24" s="48">
        <v>5.6999999999999993</v>
      </c>
      <c r="G24" s="28">
        <v>3.14</v>
      </c>
      <c r="H24" s="49">
        <v>17.898</v>
      </c>
      <c r="I24" s="43">
        <v>0.69622500000000009</v>
      </c>
      <c r="J24" s="28">
        <v>19.55</v>
      </c>
      <c r="K24" s="54">
        <v>13.611198750000002</v>
      </c>
      <c r="L24" s="52">
        <v>4.3679249999999996</v>
      </c>
      <c r="M24" s="28">
        <v>2.23</v>
      </c>
      <c r="N24" s="49">
        <v>9.7404727499999986</v>
      </c>
      <c r="O24" s="43">
        <v>7.6</v>
      </c>
      <c r="P24" s="28">
        <v>5.67</v>
      </c>
      <c r="Q24" s="54">
        <v>43.091999999999999</v>
      </c>
      <c r="R24" s="60">
        <v>41.249671500000005</v>
      </c>
      <c r="S24" s="62">
        <v>1.3320749999999997</v>
      </c>
      <c r="T24" s="60">
        <v>7.0773144749999979</v>
      </c>
      <c r="U24" s="62">
        <v>91.418985974999998</v>
      </c>
      <c r="V24" s="60">
        <v>149</v>
      </c>
      <c r="W24" s="67">
        <v>989</v>
      </c>
      <c r="X24" s="69">
        <v>24.725000000000001</v>
      </c>
      <c r="Y24" s="67">
        <v>265.14398597500002</v>
      </c>
      <c r="Z24" s="72">
        <v>304.89999999999998</v>
      </c>
      <c r="AA24" s="116">
        <v>145</v>
      </c>
      <c r="AB24" s="116">
        <v>143</v>
      </c>
      <c r="AC24" s="116">
        <v>30</v>
      </c>
      <c r="AD24" s="113">
        <f t="shared" si="0"/>
        <v>449.9</v>
      </c>
      <c r="AE24" s="113">
        <f t="shared" si="1"/>
        <v>447.9</v>
      </c>
      <c r="AF24" s="113">
        <f t="shared" si="2"/>
        <v>334.9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3.8999999999999995</v>
      </c>
      <c r="F25" s="48">
        <v>6.2399999999999993</v>
      </c>
      <c r="G25" s="28">
        <v>3.14</v>
      </c>
      <c r="H25" s="49">
        <v>19.593599999999999</v>
      </c>
      <c r="I25" s="43">
        <v>0.66399999999999992</v>
      </c>
      <c r="J25" s="28">
        <v>19.55</v>
      </c>
      <c r="K25" s="54">
        <v>12.981199999999999</v>
      </c>
      <c r="L25" s="52">
        <v>4.7909999999999995</v>
      </c>
      <c r="M25" s="28">
        <v>2.23</v>
      </c>
      <c r="N25" s="49">
        <v>10.683929999999998</v>
      </c>
      <c r="O25" s="43">
        <v>7.7999999999999989</v>
      </c>
      <c r="P25" s="28">
        <v>5.67</v>
      </c>
      <c r="Q25" s="54">
        <v>44.225999999999992</v>
      </c>
      <c r="R25" s="60">
        <v>43.258729999999993</v>
      </c>
      <c r="S25" s="62">
        <v>1.4489999999999998</v>
      </c>
      <c r="T25" s="60">
        <v>7.6985369999999991</v>
      </c>
      <c r="U25" s="62">
        <v>95.183266999999987</v>
      </c>
      <c r="V25" s="60">
        <v>166.5</v>
      </c>
      <c r="W25" s="67">
        <v>989</v>
      </c>
      <c r="X25" s="69">
        <v>24.725000000000001</v>
      </c>
      <c r="Y25" s="67">
        <v>286.40826700000002</v>
      </c>
      <c r="Z25" s="72">
        <v>329.4</v>
      </c>
      <c r="AA25" s="116">
        <v>171</v>
      </c>
      <c r="AB25" s="116">
        <v>169</v>
      </c>
      <c r="AC25" s="116">
        <v>34</v>
      </c>
      <c r="AD25" s="113">
        <f t="shared" si="0"/>
        <v>500.4</v>
      </c>
      <c r="AE25" s="113">
        <f t="shared" si="1"/>
        <v>498.4</v>
      </c>
      <c r="AF25" s="113">
        <f t="shared" si="2"/>
        <v>363.4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4.1499999999999995</v>
      </c>
      <c r="F26" s="50">
        <v>7.6774999999999993</v>
      </c>
      <c r="G26" s="32">
        <v>3.14</v>
      </c>
      <c r="H26" s="51">
        <v>24.10735</v>
      </c>
      <c r="I26" s="44">
        <v>0.41335937499999992</v>
      </c>
      <c r="J26" s="32">
        <v>19.55</v>
      </c>
      <c r="K26" s="55">
        <v>8.081175781249998</v>
      </c>
      <c r="L26" s="58">
        <v>6.0375781249999996</v>
      </c>
      <c r="M26" s="32">
        <v>2.23</v>
      </c>
      <c r="N26" s="51">
        <v>13.463799218749999</v>
      </c>
      <c r="O26" s="44">
        <v>8.2999999999999989</v>
      </c>
      <c r="P26" s="32">
        <v>5.67</v>
      </c>
      <c r="Q26" s="55">
        <v>47.060999999999993</v>
      </c>
      <c r="R26" s="61">
        <v>45.652324999999998</v>
      </c>
      <c r="S26" s="63">
        <v>1.6399218749999998</v>
      </c>
      <c r="T26" s="61">
        <v>8.7129049218749994</v>
      </c>
      <c r="U26" s="63">
        <v>101.42622992187499</v>
      </c>
      <c r="V26" s="61">
        <v>203.43</v>
      </c>
      <c r="W26" s="68">
        <v>989</v>
      </c>
      <c r="X26" s="71">
        <v>24.725000000000001</v>
      </c>
      <c r="Y26" s="68">
        <v>329.58122992187504</v>
      </c>
      <c r="Z26" s="72">
        <v>379</v>
      </c>
      <c r="AA26" s="117">
        <v>171</v>
      </c>
      <c r="AB26" s="117">
        <v>169</v>
      </c>
      <c r="AC26" s="117">
        <v>34</v>
      </c>
      <c r="AD26" s="114">
        <f t="shared" si="0"/>
        <v>550</v>
      </c>
      <c r="AE26" s="114">
        <f t="shared" si="1"/>
        <v>548</v>
      </c>
      <c r="AF26" s="114">
        <f t="shared" si="2"/>
        <v>413</v>
      </c>
    </row>
  </sheetData>
  <mergeCells count="9">
    <mergeCell ref="AA11:AC11"/>
    <mergeCell ref="AD11:AF11"/>
    <mergeCell ref="A1:E1"/>
    <mergeCell ref="F11:H11"/>
    <mergeCell ref="O11:Q11"/>
    <mergeCell ref="I11:K11"/>
    <mergeCell ref="L11:N11"/>
    <mergeCell ref="B11:E11"/>
    <mergeCell ref="A4:I4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27"/>
  <sheetViews>
    <sheetView view="pageBreakPreview" zoomScale="90" zoomScaleNormal="75" zoomScaleSheetLayoutView="90" workbookViewId="0">
      <pane xSplit="5" ySplit="13" topLeftCell="F14" activePane="bottomRight" state="frozen"/>
      <selection pane="topRight" activeCell="F1" sqref="F1"/>
      <selection pane="bottomLeft" activeCell="A14" sqref="A14"/>
      <selection pane="bottomRight" activeCell="A20" sqref="A20:XFD20"/>
    </sheetView>
  </sheetViews>
  <sheetFormatPr defaultRowHeight="12.75" x14ac:dyDescent="0.2"/>
  <cols>
    <col min="1" max="1" width="3.42578125" style="24" customWidth="1"/>
    <col min="2" max="2" width="6.7109375" style="1" customWidth="1"/>
    <col min="3" max="3" width="7.28515625" style="1" customWidth="1"/>
    <col min="4" max="4" width="7" style="25" customWidth="1"/>
    <col min="5" max="5" width="8.42578125" style="1" customWidth="1"/>
    <col min="6" max="6" width="7" style="1" customWidth="1"/>
    <col min="7" max="8" width="7.42578125" style="1" customWidth="1"/>
    <col min="9" max="9" width="6.7109375" style="1" customWidth="1"/>
    <col min="10" max="10" width="7.5703125" style="1" customWidth="1"/>
    <col min="11" max="11" width="7" style="1" customWidth="1"/>
    <col min="12" max="12" width="8.28515625" style="1" customWidth="1"/>
    <col min="13" max="13" width="7" style="1" customWidth="1"/>
    <col min="14" max="14" width="6.85546875" style="1" customWidth="1"/>
    <col min="15" max="15" width="8.5703125" style="1" customWidth="1"/>
    <col min="16" max="17" width="7.140625" style="1" hidden="1" customWidth="1"/>
    <col min="18" max="18" width="8.5703125" style="1" hidden="1" customWidth="1"/>
    <col min="19" max="19" width="10" style="1" hidden="1" customWidth="1"/>
    <col min="20" max="20" width="12.42578125" style="1" hidden="1" customWidth="1"/>
    <col min="21" max="22" width="10.85546875" style="1" hidden="1" customWidth="1"/>
    <col min="23" max="23" width="10.5703125" style="1" hidden="1" customWidth="1"/>
    <col min="24" max="24" width="8.5703125" style="1" customWidth="1"/>
    <col min="25" max="25" width="11" style="1" customWidth="1"/>
    <col min="26" max="26" width="8.5703125" style="1" customWidth="1"/>
  </cols>
  <sheetData>
    <row r="1" spans="1:32" ht="35.25" customHeight="1" x14ac:dyDescent="0.2">
      <c r="A1" s="1065" t="s">
        <v>26</v>
      </c>
      <c r="B1" s="1065"/>
      <c r="C1" s="1065"/>
      <c r="D1" s="1065"/>
      <c r="E1" s="1065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066" t="s">
        <v>17</v>
      </c>
      <c r="B4" s="1066"/>
      <c r="C4" s="1066"/>
      <c r="D4" s="1066"/>
      <c r="E4" s="1066"/>
      <c r="F4" s="1066"/>
      <c r="G4" s="1066"/>
      <c r="H4" s="1066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ht="13.9" customHeight="1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4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1.75" customHeight="1" thickBot="1" x14ac:dyDescent="0.25">
      <c r="B11" s="1059" t="s">
        <v>24</v>
      </c>
      <c r="C11" s="1060"/>
      <c r="D11" s="1060"/>
      <c r="E11" s="1061"/>
      <c r="F11" s="1059" t="s">
        <v>1</v>
      </c>
      <c r="G11" s="1060"/>
      <c r="H11" s="1061"/>
      <c r="I11" s="1059" t="s">
        <v>2</v>
      </c>
      <c r="J11" s="1060"/>
      <c r="K11" s="1061"/>
      <c r="L11" s="1059" t="s">
        <v>3</v>
      </c>
      <c r="M11" s="1060"/>
      <c r="N11" s="1061"/>
      <c r="O11" s="1059" t="s">
        <v>4</v>
      </c>
      <c r="P11" s="1060"/>
      <c r="Q11" s="1060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38</v>
      </c>
      <c r="AA11" s="1059" t="s">
        <v>93</v>
      </c>
      <c r="AB11" s="1060"/>
      <c r="AC11" s="1061"/>
      <c r="AD11" s="1062" t="s">
        <v>97</v>
      </c>
      <c r="AE11" s="1063"/>
      <c r="AF11" s="1064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16" t="s">
        <v>6</v>
      </c>
      <c r="L12" s="15"/>
      <c r="M12" s="16" t="s">
        <v>6</v>
      </c>
      <c r="N12" s="16" t="s">
        <v>6</v>
      </c>
      <c r="O12" s="15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1" t="s">
        <v>12</v>
      </c>
      <c r="L13" s="79" t="s">
        <v>14</v>
      </c>
      <c r="M13" s="21" t="s">
        <v>11</v>
      </c>
      <c r="N13" s="21" t="s">
        <v>12</v>
      </c>
      <c r="O13" s="79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4.0599999999999996</v>
      </c>
      <c r="F14" s="48">
        <v>3.0855999999999999</v>
      </c>
      <c r="G14" s="28">
        <v>3.14</v>
      </c>
      <c r="H14" s="49">
        <v>9.6887840000000001</v>
      </c>
      <c r="I14" s="43">
        <v>0.25832704000000001</v>
      </c>
      <c r="J14" s="28">
        <v>19.55</v>
      </c>
      <c r="K14" s="54">
        <v>5.0502936320000007</v>
      </c>
      <c r="L14" s="45">
        <v>2.8071769599999996</v>
      </c>
      <c r="M14" s="46">
        <v>2.23</v>
      </c>
      <c r="N14" s="47">
        <v>6.2600046207999993</v>
      </c>
      <c r="O14" s="43">
        <v>8.1199999999999992</v>
      </c>
      <c r="P14" s="28">
        <v>5.67</v>
      </c>
      <c r="Q14" s="54">
        <v>46.040399999999998</v>
      </c>
      <c r="R14" s="59">
        <v>20.999082252800001</v>
      </c>
      <c r="S14" s="62">
        <v>0.27842304000000029</v>
      </c>
      <c r="T14" s="60">
        <v>1.4792616115200017</v>
      </c>
      <c r="U14" s="62">
        <v>68.518743864320001</v>
      </c>
      <c r="V14" s="60">
        <v>9.8699999999999992</v>
      </c>
      <c r="W14" s="67">
        <v>815</v>
      </c>
      <c r="X14" s="69">
        <v>20.375</v>
      </c>
      <c r="Y14" s="67">
        <v>98.763743864320006</v>
      </c>
      <c r="Z14" s="72">
        <v>108.6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181.6</v>
      </c>
      <c r="AE14" s="112">
        <f t="shared" ref="AE14:AE26" si="1">(Z14+AB14)*$AF$7</f>
        <v>180.6</v>
      </c>
      <c r="AF14" s="112">
        <f t="shared" ref="AF14:AF26" si="2">(Z14+AC14)*$AF$7</f>
        <v>123.6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4.0999999999999996</v>
      </c>
      <c r="F15" s="48">
        <v>3.28</v>
      </c>
      <c r="G15" s="28">
        <v>3.14</v>
      </c>
      <c r="H15" s="49">
        <v>10.299199999999999</v>
      </c>
      <c r="I15" s="43">
        <v>0.29488000000000003</v>
      </c>
      <c r="J15" s="28">
        <v>19.55</v>
      </c>
      <c r="K15" s="54">
        <v>5.7649040000000005</v>
      </c>
      <c r="L15" s="52">
        <v>2.9537199999999997</v>
      </c>
      <c r="M15" s="28">
        <v>2.23</v>
      </c>
      <c r="N15" s="49">
        <v>6.5867955999999994</v>
      </c>
      <c r="O15" s="43">
        <v>8.1999999999999993</v>
      </c>
      <c r="P15" s="28">
        <v>5.67</v>
      </c>
      <c r="Q15" s="54">
        <v>46.493999999999993</v>
      </c>
      <c r="R15" s="60">
        <v>22.650899599999999</v>
      </c>
      <c r="S15" s="62">
        <v>0.32628000000000013</v>
      </c>
      <c r="T15" s="60">
        <v>1.7335256400000005</v>
      </c>
      <c r="U15" s="62">
        <v>70.878425239999984</v>
      </c>
      <c r="V15" s="60">
        <v>11.9</v>
      </c>
      <c r="W15" s="67">
        <v>815</v>
      </c>
      <c r="X15" s="69">
        <v>20.375</v>
      </c>
      <c r="Y15" s="67">
        <v>103.15342523999999</v>
      </c>
      <c r="Z15" s="72">
        <v>113.5</v>
      </c>
      <c r="AA15" s="116">
        <v>82</v>
      </c>
      <c r="AB15" s="116">
        <v>81</v>
      </c>
      <c r="AC15" s="116">
        <v>17</v>
      </c>
      <c r="AD15" s="113">
        <f t="shared" si="0"/>
        <v>195.5</v>
      </c>
      <c r="AE15" s="113">
        <f t="shared" si="1"/>
        <v>194.5</v>
      </c>
      <c r="AF15" s="113">
        <f t="shared" si="2"/>
        <v>130.5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4.1499999999999995</v>
      </c>
      <c r="F16" s="48">
        <v>3.5274999999999994</v>
      </c>
      <c r="G16" s="28">
        <v>3.14</v>
      </c>
      <c r="H16" s="49">
        <v>11.076349999999998</v>
      </c>
      <c r="I16" s="43">
        <v>0.340796875</v>
      </c>
      <c r="J16" s="28">
        <v>19.55</v>
      </c>
      <c r="K16" s="54">
        <v>6.6625789062500003</v>
      </c>
      <c r="L16" s="52">
        <v>3.1376406249999995</v>
      </c>
      <c r="M16" s="28">
        <v>2.23</v>
      </c>
      <c r="N16" s="49">
        <v>6.9969385937499986</v>
      </c>
      <c r="O16" s="43">
        <v>8.2999999999999989</v>
      </c>
      <c r="P16" s="28">
        <v>5.67</v>
      </c>
      <c r="Q16" s="54">
        <v>47.060999999999993</v>
      </c>
      <c r="R16" s="60">
        <v>24.735867499999998</v>
      </c>
      <c r="S16" s="62">
        <v>0.3898593749999999</v>
      </c>
      <c r="T16" s="60">
        <v>2.0713228593749995</v>
      </c>
      <c r="U16" s="62">
        <v>73.868190359374992</v>
      </c>
      <c r="V16" s="60">
        <v>17</v>
      </c>
      <c r="W16" s="67">
        <v>815</v>
      </c>
      <c r="X16" s="69">
        <v>20.375</v>
      </c>
      <c r="Y16" s="67">
        <v>111.24319035937499</v>
      </c>
      <c r="Z16" s="72">
        <v>122.4</v>
      </c>
      <c r="AA16" s="116">
        <v>82</v>
      </c>
      <c r="AB16" s="116">
        <v>81</v>
      </c>
      <c r="AC16" s="116">
        <v>17</v>
      </c>
      <c r="AD16" s="113">
        <f t="shared" si="0"/>
        <v>204.4</v>
      </c>
      <c r="AE16" s="113">
        <f t="shared" si="1"/>
        <v>203.4</v>
      </c>
      <c r="AF16" s="113">
        <f t="shared" si="2"/>
        <v>139.4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4.2149999999999999</v>
      </c>
      <c r="F17" s="48">
        <v>3.856725</v>
      </c>
      <c r="G17" s="28">
        <v>3.14</v>
      </c>
      <c r="H17" s="49">
        <v>12.1101165</v>
      </c>
      <c r="I17" s="43">
        <v>0.39995416312499998</v>
      </c>
      <c r="J17" s="28">
        <v>19.55</v>
      </c>
      <c r="K17" s="54">
        <v>7.8191038890937499</v>
      </c>
      <c r="L17" s="52">
        <v>3.3788792118750002</v>
      </c>
      <c r="M17" s="28">
        <v>2.23</v>
      </c>
      <c r="N17" s="49">
        <v>7.5349006424812499</v>
      </c>
      <c r="O17" s="43">
        <v>8.43</v>
      </c>
      <c r="P17" s="28">
        <v>5.67</v>
      </c>
      <c r="Q17" s="54">
        <v>47.798099999999998</v>
      </c>
      <c r="R17" s="60">
        <v>27.464121031575001</v>
      </c>
      <c r="S17" s="62">
        <v>0.47784578812499978</v>
      </c>
      <c r="T17" s="60">
        <v>2.5387946723081236</v>
      </c>
      <c r="U17" s="62">
        <v>77.801015703883124</v>
      </c>
      <c r="V17" s="60">
        <v>24.68</v>
      </c>
      <c r="W17" s="67">
        <v>815</v>
      </c>
      <c r="X17" s="69">
        <v>20.375</v>
      </c>
      <c r="Y17" s="67">
        <v>122.85601570388312</v>
      </c>
      <c r="Z17" s="72">
        <v>135.1</v>
      </c>
      <c r="AA17" s="116">
        <v>91</v>
      </c>
      <c r="AB17" s="116">
        <v>90</v>
      </c>
      <c r="AC17" s="116">
        <v>19</v>
      </c>
      <c r="AD17" s="113">
        <f t="shared" si="0"/>
        <v>226.1</v>
      </c>
      <c r="AE17" s="113">
        <f t="shared" si="1"/>
        <v>225.1</v>
      </c>
      <c r="AF17" s="113">
        <f t="shared" si="2"/>
        <v>154.1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4.2549999999999999</v>
      </c>
      <c r="F18" s="48">
        <v>4.0635249999999994</v>
      </c>
      <c r="G18" s="28">
        <v>3.14</v>
      </c>
      <c r="H18" s="49">
        <v>12.759468499999999</v>
      </c>
      <c r="I18" s="43">
        <v>0.43554720812499992</v>
      </c>
      <c r="J18" s="28">
        <v>19.55</v>
      </c>
      <c r="K18" s="54">
        <v>8.5149479188437489</v>
      </c>
      <c r="L18" s="52">
        <v>3.5290481668749996</v>
      </c>
      <c r="M18" s="28">
        <v>2.23</v>
      </c>
      <c r="N18" s="49">
        <v>7.8697774121312492</v>
      </c>
      <c r="O18" s="43">
        <v>8.51</v>
      </c>
      <c r="P18" s="28">
        <v>5.67</v>
      </c>
      <c r="Q18" s="54">
        <v>48.2517</v>
      </c>
      <c r="R18" s="60">
        <v>29.144193830974999</v>
      </c>
      <c r="S18" s="62">
        <v>0.53447683312499983</v>
      </c>
      <c r="T18" s="60">
        <v>2.8396754143931235</v>
      </c>
      <c r="U18" s="62">
        <v>80.235569245368126</v>
      </c>
      <c r="V18" s="60">
        <v>31.35</v>
      </c>
      <c r="W18" s="67">
        <v>815</v>
      </c>
      <c r="X18" s="69">
        <v>20.375</v>
      </c>
      <c r="Y18" s="67">
        <v>131.96056924536813</v>
      </c>
      <c r="Z18" s="72">
        <v>145.19999999999999</v>
      </c>
      <c r="AA18" s="116">
        <v>91</v>
      </c>
      <c r="AB18" s="116">
        <v>90</v>
      </c>
      <c r="AC18" s="116">
        <v>19</v>
      </c>
      <c r="AD18" s="113">
        <f t="shared" si="0"/>
        <v>236.2</v>
      </c>
      <c r="AE18" s="113">
        <f t="shared" si="1"/>
        <v>235.2</v>
      </c>
      <c r="AF18" s="113">
        <f t="shared" si="2"/>
        <v>164.2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4.3</v>
      </c>
      <c r="F19" s="48">
        <v>4.3</v>
      </c>
      <c r="G19" s="28">
        <v>3.14</v>
      </c>
      <c r="H19" s="49">
        <v>13.502000000000001</v>
      </c>
      <c r="I19" s="43">
        <v>0.47440000000000004</v>
      </c>
      <c r="J19" s="28">
        <v>19.55</v>
      </c>
      <c r="K19" s="54">
        <v>9.2745200000000008</v>
      </c>
      <c r="L19" s="52">
        <v>3.6999999999999997</v>
      </c>
      <c r="M19" s="28">
        <v>2.23</v>
      </c>
      <c r="N19" s="49">
        <v>8.2509999999999994</v>
      </c>
      <c r="O19" s="43">
        <v>8.6</v>
      </c>
      <c r="P19" s="28">
        <v>5.67</v>
      </c>
      <c r="Q19" s="54">
        <v>48.762</v>
      </c>
      <c r="R19" s="60">
        <v>31.027520000000003</v>
      </c>
      <c r="S19" s="62">
        <v>0.60000000000000009</v>
      </c>
      <c r="T19" s="60">
        <v>3.1878000000000002</v>
      </c>
      <c r="U19" s="62">
        <v>82.977320000000006</v>
      </c>
      <c r="V19" s="60">
        <v>38.44</v>
      </c>
      <c r="W19" s="67">
        <v>815</v>
      </c>
      <c r="X19" s="69">
        <v>20.375</v>
      </c>
      <c r="Y19" s="67">
        <v>141.79232000000002</v>
      </c>
      <c r="Z19" s="72">
        <v>156</v>
      </c>
      <c r="AA19" s="116">
        <v>105</v>
      </c>
      <c r="AB19" s="116">
        <v>103</v>
      </c>
      <c r="AC19" s="116">
        <v>22</v>
      </c>
      <c r="AD19" s="113">
        <f t="shared" si="0"/>
        <v>261</v>
      </c>
      <c r="AE19" s="113">
        <f t="shared" si="1"/>
        <v>259</v>
      </c>
      <c r="AF19" s="113">
        <f t="shared" si="2"/>
        <v>178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4.3999999999999995</v>
      </c>
      <c r="F20" s="48">
        <v>4.84</v>
      </c>
      <c r="G20" s="28">
        <v>3.14</v>
      </c>
      <c r="H20" s="49">
        <v>15.1976</v>
      </c>
      <c r="I20" s="43">
        <v>0.55412499999999998</v>
      </c>
      <c r="J20" s="28">
        <v>19.55</v>
      </c>
      <c r="K20" s="54">
        <v>10.83314375</v>
      </c>
      <c r="L20" s="52">
        <v>4.0896249999999998</v>
      </c>
      <c r="M20" s="28">
        <v>2.23</v>
      </c>
      <c r="N20" s="49">
        <v>9.1198637500000004</v>
      </c>
      <c r="O20" s="43">
        <v>8.7999999999999989</v>
      </c>
      <c r="P20" s="28">
        <v>5.67</v>
      </c>
      <c r="Q20" s="54">
        <v>49.895999999999994</v>
      </c>
      <c r="R20" s="60">
        <v>35.1506075</v>
      </c>
      <c r="S20" s="62">
        <v>0.75037500000000001</v>
      </c>
      <c r="T20" s="60">
        <v>3.9867423749999999</v>
      </c>
      <c r="U20" s="62">
        <v>89.033349874999999</v>
      </c>
      <c r="V20" s="60">
        <v>70.239999999999995</v>
      </c>
      <c r="W20" s="67">
        <v>815</v>
      </c>
      <c r="X20" s="69">
        <v>20.375</v>
      </c>
      <c r="Y20" s="67">
        <v>179.64834987500001</v>
      </c>
      <c r="Z20" s="72">
        <v>197.6</v>
      </c>
      <c r="AA20" s="116">
        <v>105</v>
      </c>
      <c r="AB20" s="116">
        <v>103</v>
      </c>
      <c r="AC20" s="116">
        <v>22</v>
      </c>
      <c r="AD20" s="113">
        <f t="shared" si="0"/>
        <v>302.60000000000002</v>
      </c>
      <c r="AE20" s="113">
        <f t="shared" si="1"/>
        <v>300.60000000000002</v>
      </c>
      <c r="AF20" s="113">
        <f t="shared" si="2"/>
        <v>219.6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86">
        <v>4.4999999999999991</v>
      </c>
      <c r="F21" s="50">
        <v>5.3999999999999986</v>
      </c>
      <c r="G21" s="32">
        <v>3.14</v>
      </c>
      <c r="H21" s="51">
        <v>16.955999999999996</v>
      </c>
      <c r="I21" s="44">
        <v>0.6208800000000001</v>
      </c>
      <c r="J21" s="32">
        <v>19.55</v>
      </c>
      <c r="K21" s="55">
        <v>12.138204000000002</v>
      </c>
      <c r="L21" s="58">
        <v>4.4965199999999985</v>
      </c>
      <c r="M21" s="32">
        <v>2.23</v>
      </c>
      <c r="N21" s="51">
        <v>10.027239599999996</v>
      </c>
      <c r="O21" s="44">
        <v>8.9999999999999982</v>
      </c>
      <c r="P21" s="32">
        <v>5.67</v>
      </c>
      <c r="Q21" s="55">
        <v>51.029999999999987</v>
      </c>
      <c r="R21" s="61">
        <v>39.121443599999992</v>
      </c>
      <c r="S21" s="63">
        <v>0.90348000000000006</v>
      </c>
      <c r="T21" s="61">
        <v>4.8001892399999999</v>
      </c>
      <c r="U21" s="63">
        <v>94.951632839999974</v>
      </c>
      <c r="V21" s="61">
        <v>87.89</v>
      </c>
      <c r="W21" s="68">
        <v>815</v>
      </c>
      <c r="X21" s="70">
        <v>20.375</v>
      </c>
      <c r="Y21" s="68">
        <v>203.21663283999999</v>
      </c>
      <c r="Z21" s="73">
        <v>223.5</v>
      </c>
      <c r="AA21" s="116">
        <v>123</v>
      </c>
      <c r="AB21" s="116">
        <v>121</v>
      </c>
      <c r="AC21" s="116">
        <v>26</v>
      </c>
      <c r="AD21" s="113">
        <f t="shared" si="0"/>
        <v>346.5</v>
      </c>
      <c r="AE21" s="113">
        <f t="shared" si="1"/>
        <v>344.5</v>
      </c>
      <c r="AF21" s="113">
        <f t="shared" si="2"/>
        <v>249.5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4.5999999999999996</v>
      </c>
      <c r="F22" s="52">
        <v>5.9799999999999986</v>
      </c>
      <c r="G22" s="28">
        <v>3.14</v>
      </c>
      <c r="H22" s="49">
        <v>18.777199999999997</v>
      </c>
      <c r="I22" s="43">
        <v>0.66995499999999986</v>
      </c>
      <c r="J22" s="28">
        <v>19.55</v>
      </c>
      <c r="K22" s="54">
        <v>13.097620249999999</v>
      </c>
      <c r="L22" s="52">
        <v>4.9253949999999991</v>
      </c>
      <c r="M22" s="28">
        <v>2.23</v>
      </c>
      <c r="N22" s="49">
        <v>10.983630849999997</v>
      </c>
      <c r="O22" s="43">
        <v>9.1999999999999993</v>
      </c>
      <c r="P22" s="28">
        <v>5.67</v>
      </c>
      <c r="Q22" s="54">
        <v>52.163999999999994</v>
      </c>
      <c r="R22" s="60">
        <v>42.858451099999996</v>
      </c>
      <c r="S22" s="62">
        <v>1.0546049999999996</v>
      </c>
      <c r="T22" s="60">
        <v>5.6031163649999973</v>
      </c>
      <c r="U22" s="62">
        <v>100.62556746499997</v>
      </c>
      <c r="V22" s="60">
        <v>114.2</v>
      </c>
      <c r="W22" s="67">
        <v>1047</v>
      </c>
      <c r="X22" s="69">
        <v>26.175000000000001</v>
      </c>
      <c r="Y22" s="67">
        <v>241.00056746499999</v>
      </c>
      <c r="Z22" s="72">
        <v>265.10000000000002</v>
      </c>
      <c r="AA22" s="116">
        <v>123</v>
      </c>
      <c r="AB22" s="116">
        <v>121</v>
      </c>
      <c r="AC22" s="116">
        <v>26</v>
      </c>
      <c r="AD22" s="113">
        <f t="shared" si="0"/>
        <v>388.1</v>
      </c>
      <c r="AE22" s="113">
        <f t="shared" si="1"/>
        <v>386.1</v>
      </c>
      <c r="AF22" s="113">
        <f t="shared" si="2"/>
        <v>291.10000000000002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4.6999999999999993</v>
      </c>
      <c r="F23" s="48">
        <v>6.5799999999999983</v>
      </c>
      <c r="G23" s="28">
        <v>3.14</v>
      </c>
      <c r="H23" s="49">
        <v>20.661199999999994</v>
      </c>
      <c r="I23" s="43">
        <v>0.69663999999999981</v>
      </c>
      <c r="J23" s="28">
        <v>19.55</v>
      </c>
      <c r="K23" s="54">
        <v>13.619311999999997</v>
      </c>
      <c r="L23" s="52">
        <v>5.3809599999999991</v>
      </c>
      <c r="M23" s="28">
        <v>2.23</v>
      </c>
      <c r="N23" s="49">
        <v>11.999540799999998</v>
      </c>
      <c r="O23" s="43">
        <v>9.3999999999999986</v>
      </c>
      <c r="P23" s="28">
        <v>5.67</v>
      </c>
      <c r="Q23" s="54">
        <v>53.297999999999995</v>
      </c>
      <c r="R23" s="60">
        <v>46.280052799999986</v>
      </c>
      <c r="S23" s="62">
        <v>1.1990399999999992</v>
      </c>
      <c r="T23" s="60">
        <v>6.3704995199999956</v>
      </c>
      <c r="U23" s="62">
        <v>105.94855231999998</v>
      </c>
      <c r="V23" s="60">
        <v>140.9</v>
      </c>
      <c r="W23" s="67">
        <v>1047</v>
      </c>
      <c r="X23" s="69">
        <v>26.175000000000001</v>
      </c>
      <c r="Y23" s="67">
        <v>273.02355231999996</v>
      </c>
      <c r="Z23" s="72">
        <v>300.3</v>
      </c>
      <c r="AA23" s="116">
        <v>145</v>
      </c>
      <c r="AB23" s="116">
        <v>143</v>
      </c>
      <c r="AC23" s="116">
        <v>30</v>
      </c>
      <c r="AD23" s="113">
        <f t="shared" si="0"/>
        <v>445.3</v>
      </c>
      <c r="AE23" s="113">
        <f t="shared" si="1"/>
        <v>443.3</v>
      </c>
      <c r="AF23" s="113">
        <f t="shared" si="2"/>
        <v>330.3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4.8</v>
      </c>
      <c r="F24" s="48">
        <v>7.1999999999999993</v>
      </c>
      <c r="G24" s="28">
        <v>3.14</v>
      </c>
      <c r="H24" s="49">
        <v>22.607999999999997</v>
      </c>
      <c r="I24" s="43">
        <v>0.69622500000000009</v>
      </c>
      <c r="J24" s="28">
        <v>19.55</v>
      </c>
      <c r="K24" s="54">
        <v>13.611198750000002</v>
      </c>
      <c r="L24" s="52">
        <v>5.8679249999999996</v>
      </c>
      <c r="M24" s="28">
        <v>2.23</v>
      </c>
      <c r="N24" s="49">
        <v>13.085472749999999</v>
      </c>
      <c r="O24" s="43">
        <v>9.6</v>
      </c>
      <c r="P24" s="28">
        <v>5.67</v>
      </c>
      <c r="Q24" s="54">
        <v>54.431999999999995</v>
      </c>
      <c r="R24" s="60">
        <v>49.304671499999998</v>
      </c>
      <c r="S24" s="62">
        <v>1.3320749999999997</v>
      </c>
      <c r="T24" s="60">
        <v>7.0773144749999979</v>
      </c>
      <c r="U24" s="62">
        <v>110.81398597499999</v>
      </c>
      <c r="V24" s="60">
        <v>149</v>
      </c>
      <c r="W24" s="67">
        <v>1047</v>
      </c>
      <c r="X24" s="69">
        <v>26.175000000000001</v>
      </c>
      <c r="Y24" s="67">
        <v>285.98898597499999</v>
      </c>
      <c r="Z24" s="72">
        <v>314.60000000000002</v>
      </c>
      <c r="AA24" s="116">
        <v>145</v>
      </c>
      <c r="AB24" s="116">
        <v>143</v>
      </c>
      <c r="AC24" s="116">
        <v>30</v>
      </c>
      <c r="AD24" s="113">
        <f t="shared" si="0"/>
        <v>459.6</v>
      </c>
      <c r="AE24" s="113">
        <f t="shared" si="1"/>
        <v>457.6</v>
      </c>
      <c r="AF24" s="113">
        <f t="shared" si="2"/>
        <v>344.6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4.8999999999999995</v>
      </c>
      <c r="F25" s="48">
        <v>7.84</v>
      </c>
      <c r="G25" s="28">
        <v>3.14</v>
      </c>
      <c r="H25" s="49">
        <v>24.617599999999999</v>
      </c>
      <c r="I25" s="43">
        <v>0.66399999999999992</v>
      </c>
      <c r="J25" s="28">
        <v>19.55</v>
      </c>
      <c r="K25" s="54">
        <v>12.981199999999999</v>
      </c>
      <c r="L25" s="52">
        <v>6.391</v>
      </c>
      <c r="M25" s="28">
        <v>2.23</v>
      </c>
      <c r="N25" s="49">
        <v>14.25193</v>
      </c>
      <c r="O25" s="43">
        <v>9.7999999999999989</v>
      </c>
      <c r="P25" s="28">
        <v>5.67</v>
      </c>
      <c r="Q25" s="54">
        <v>55.565999999999995</v>
      </c>
      <c r="R25" s="60">
        <v>51.850729999999999</v>
      </c>
      <c r="S25" s="62">
        <v>1.4489999999999998</v>
      </c>
      <c r="T25" s="60">
        <v>7.6985369999999991</v>
      </c>
      <c r="U25" s="62">
        <v>115.115267</v>
      </c>
      <c r="V25" s="60">
        <v>166.5</v>
      </c>
      <c r="W25" s="67">
        <v>1047</v>
      </c>
      <c r="X25" s="69">
        <v>26.175000000000001</v>
      </c>
      <c r="Y25" s="67">
        <v>307.79026700000003</v>
      </c>
      <c r="Z25" s="72">
        <v>338.6</v>
      </c>
      <c r="AA25" s="116">
        <v>171</v>
      </c>
      <c r="AB25" s="116">
        <v>169</v>
      </c>
      <c r="AC25" s="116">
        <v>34</v>
      </c>
      <c r="AD25" s="113">
        <f t="shared" si="0"/>
        <v>509.6</v>
      </c>
      <c r="AE25" s="113">
        <f t="shared" si="1"/>
        <v>507.6</v>
      </c>
      <c r="AF25" s="113">
        <f t="shared" si="2"/>
        <v>372.6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5.1499999999999995</v>
      </c>
      <c r="F26" s="50">
        <v>9.5274999999999999</v>
      </c>
      <c r="G26" s="32">
        <v>3.14</v>
      </c>
      <c r="H26" s="51">
        <v>29.916350000000001</v>
      </c>
      <c r="I26" s="44">
        <v>0.41335937499999992</v>
      </c>
      <c r="J26" s="32">
        <v>19.55</v>
      </c>
      <c r="K26" s="55">
        <v>8.081175781249998</v>
      </c>
      <c r="L26" s="58">
        <v>7.8875781249999992</v>
      </c>
      <c r="M26" s="32">
        <v>2.23</v>
      </c>
      <c r="N26" s="51">
        <v>17.589299218749996</v>
      </c>
      <c r="O26" s="44">
        <v>10.299999999999999</v>
      </c>
      <c r="P26" s="32">
        <v>5.67</v>
      </c>
      <c r="Q26" s="55">
        <v>58.400999999999996</v>
      </c>
      <c r="R26" s="61">
        <v>55.58682499999999</v>
      </c>
      <c r="S26" s="63">
        <v>1.6399218750000006</v>
      </c>
      <c r="T26" s="61">
        <v>8.712904921875003</v>
      </c>
      <c r="U26" s="63">
        <v>122.70072992187499</v>
      </c>
      <c r="V26" s="61">
        <v>203.43</v>
      </c>
      <c r="W26" s="68">
        <v>1047</v>
      </c>
      <c r="X26" s="71">
        <v>26.175000000000001</v>
      </c>
      <c r="Y26" s="68">
        <v>352.30572992187501</v>
      </c>
      <c r="Z26" s="74">
        <v>387.5</v>
      </c>
      <c r="AA26" s="117">
        <v>171</v>
      </c>
      <c r="AB26" s="117">
        <v>169</v>
      </c>
      <c r="AC26" s="117">
        <v>34</v>
      </c>
      <c r="AD26" s="114">
        <f t="shared" si="0"/>
        <v>558.5</v>
      </c>
      <c r="AE26" s="114">
        <f t="shared" si="1"/>
        <v>556.5</v>
      </c>
      <c r="AF26" s="114">
        <f t="shared" si="2"/>
        <v>421.5</v>
      </c>
    </row>
    <row r="27" spans="1:32" x14ac:dyDescent="0.2">
      <c r="O27" s="1">
        <v>0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27"/>
  <sheetViews>
    <sheetView view="pageBreakPreview" zoomScaleNormal="75" zoomScaleSheetLayoutView="100" workbookViewId="0">
      <pane xSplit="5" ySplit="13" topLeftCell="P16" activePane="bottomRight" state="frozen"/>
      <selection pane="topRight" activeCell="F1" sqref="F1"/>
      <selection pane="bottomLeft" activeCell="A14" sqref="A14"/>
      <selection pane="bottomRight" activeCell="A20" sqref="A20:XFD20"/>
    </sheetView>
  </sheetViews>
  <sheetFormatPr defaultRowHeight="12.75" x14ac:dyDescent="0.2"/>
  <cols>
    <col min="1" max="1" width="3.42578125" style="24" customWidth="1"/>
    <col min="2" max="2" width="6.85546875" style="1" customWidth="1"/>
    <col min="3" max="3" width="7.7109375" style="1" customWidth="1"/>
    <col min="4" max="4" width="7.42578125" style="25" customWidth="1"/>
    <col min="5" max="5" width="8" style="1" customWidth="1"/>
    <col min="6" max="7" width="7.28515625" style="1" customWidth="1"/>
    <col min="8" max="8" width="7.7109375" style="1" customWidth="1"/>
    <col min="9" max="10" width="7.28515625" style="1" customWidth="1"/>
    <col min="11" max="11" width="7.140625" style="1" customWidth="1"/>
    <col min="12" max="12" width="7.85546875" style="1" customWidth="1"/>
    <col min="13" max="13" width="7.140625" style="1" customWidth="1"/>
    <col min="14" max="14" width="7" style="1" customWidth="1"/>
    <col min="15" max="15" width="8.5703125" style="1" customWidth="1"/>
    <col min="16" max="16" width="6.85546875" style="1" customWidth="1"/>
    <col min="17" max="17" width="8" style="1" hidden="1" customWidth="1"/>
    <col min="18" max="18" width="8.5703125" style="1" hidden="1" customWidth="1"/>
    <col min="19" max="19" width="10" style="1" hidden="1" customWidth="1"/>
    <col min="20" max="20" width="12.140625" style="1" hidden="1" customWidth="1"/>
    <col min="21" max="21" width="9.5703125" style="1" hidden="1" customWidth="1"/>
    <col min="22" max="22" width="10.7109375" style="1" hidden="1" customWidth="1"/>
    <col min="23" max="23" width="10.140625" style="1" hidden="1" customWidth="1"/>
    <col min="24" max="24" width="8.5703125" style="1" hidden="1" customWidth="1"/>
    <col min="25" max="25" width="9.5703125" style="1" customWidth="1"/>
    <col min="26" max="26" width="8.5703125" style="1" customWidth="1"/>
  </cols>
  <sheetData>
    <row r="1" spans="1:32" ht="35.25" customHeight="1" x14ac:dyDescent="0.2">
      <c r="A1" s="1065" t="s">
        <v>26</v>
      </c>
      <c r="B1" s="1065"/>
      <c r="C1" s="1065"/>
      <c r="D1" s="1065"/>
      <c r="E1" s="1065"/>
    </row>
    <row r="2" spans="1:32" ht="6" customHeight="1" x14ac:dyDescent="0.2">
      <c r="A2" s="2"/>
      <c r="B2" s="3"/>
      <c r="C2" s="3"/>
      <c r="D2" s="2"/>
    </row>
    <row r="3" spans="1:32" ht="6" customHeight="1" x14ac:dyDescent="0.2">
      <c r="A3" s="2"/>
      <c r="B3" s="3"/>
      <c r="C3" s="3"/>
      <c r="D3" s="2"/>
    </row>
    <row r="4" spans="1:32" s="5" customFormat="1" ht="12.75" customHeight="1" x14ac:dyDescent="0.2">
      <c r="A4" s="1066" t="s">
        <v>17</v>
      </c>
      <c r="B4" s="1066"/>
      <c r="C4" s="1066"/>
      <c r="D4" s="1066"/>
      <c r="E4" s="1066"/>
      <c r="F4" s="1066"/>
      <c r="G4" s="1066"/>
      <c r="H4" s="1066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2" x14ac:dyDescent="0.2">
      <c r="A5" s="2"/>
      <c r="B5" s="6"/>
      <c r="C5" s="3"/>
      <c r="D5" s="2"/>
    </row>
    <row r="6" spans="1:32" x14ac:dyDescent="0.2">
      <c r="A6" s="7"/>
      <c r="B6" s="8" t="s">
        <v>0</v>
      </c>
      <c r="C6" s="3" t="s">
        <v>25</v>
      </c>
      <c r="D6" s="2"/>
    </row>
    <row r="7" spans="1:32" x14ac:dyDescent="0.2">
      <c r="A7" s="7"/>
      <c r="B7" s="8"/>
      <c r="C7" s="3" t="s">
        <v>27</v>
      </c>
      <c r="D7" s="2"/>
      <c r="AF7">
        <v>1</v>
      </c>
    </row>
    <row r="8" spans="1:32" x14ac:dyDescent="0.2">
      <c r="A8" s="7"/>
      <c r="B8" s="8"/>
      <c r="C8" s="3"/>
      <c r="D8" s="2"/>
    </row>
    <row r="9" spans="1:32" x14ac:dyDescent="0.2">
      <c r="A9" s="7"/>
      <c r="B9" s="8" t="s">
        <v>28</v>
      </c>
      <c r="C9" s="8"/>
      <c r="D9" s="7"/>
      <c r="E9" s="35"/>
      <c r="F9" s="35"/>
      <c r="G9" s="35"/>
      <c r="J9" s="35">
        <v>5</v>
      </c>
      <c r="K9" s="8" t="s">
        <v>29</v>
      </c>
    </row>
    <row r="10" spans="1:32" ht="13.5" thickBot="1" x14ac:dyDescent="0.25">
      <c r="A10" s="7"/>
      <c r="B10" s="8"/>
      <c r="C10" s="3"/>
      <c r="D10" s="2"/>
    </row>
    <row r="11" spans="1:32" s="9" customFormat="1" ht="51.75" customHeight="1" thickBot="1" x14ac:dyDescent="0.25">
      <c r="B11" s="1059" t="s">
        <v>24</v>
      </c>
      <c r="C11" s="1060"/>
      <c r="D11" s="1060"/>
      <c r="E11" s="1061"/>
      <c r="F11" s="1059" t="s">
        <v>1</v>
      </c>
      <c r="G11" s="1060"/>
      <c r="H11" s="1061"/>
      <c r="I11" s="1059" t="s">
        <v>2</v>
      </c>
      <c r="J11" s="1060"/>
      <c r="K11" s="1061"/>
      <c r="L11" s="1059" t="s">
        <v>3</v>
      </c>
      <c r="M11" s="1060"/>
      <c r="N11" s="1061"/>
      <c r="O11" s="1059" t="s">
        <v>4</v>
      </c>
      <c r="P11" s="1060"/>
      <c r="Q11" s="1060"/>
      <c r="R11" s="10" t="s">
        <v>19</v>
      </c>
      <c r="S11" s="10" t="s">
        <v>31</v>
      </c>
      <c r="T11" s="10" t="s">
        <v>32</v>
      </c>
      <c r="U11" s="10" t="s">
        <v>5</v>
      </c>
      <c r="V11" s="10" t="s">
        <v>18</v>
      </c>
      <c r="W11" s="10" t="s">
        <v>37</v>
      </c>
      <c r="X11" s="10" t="s">
        <v>20</v>
      </c>
      <c r="Y11" s="41" t="s">
        <v>23</v>
      </c>
      <c r="Z11" s="19" t="s">
        <v>38</v>
      </c>
      <c r="AA11" s="1059" t="s">
        <v>93</v>
      </c>
      <c r="AB11" s="1060"/>
      <c r="AC11" s="1061"/>
      <c r="AD11" s="1062" t="s">
        <v>97</v>
      </c>
      <c r="AE11" s="1063"/>
      <c r="AF11" s="1064"/>
    </row>
    <row r="12" spans="1:32" s="20" customFormat="1" ht="13.5" thickBot="1" x14ac:dyDescent="0.25">
      <c r="A12" s="12"/>
      <c r="B12" s="13"/>
      <c r="C12" s="14"/>
      <c r="D12" s="15"/>
      <c r="E12" s="84"/>
      <c r="F12" s="57"/>
      <c r="G12" s="16" t="s">
        <v>6</v>
      </c>
      <c r="H12" s="16" t="s">
        <v>6</v>
      </c>
      <c r="I12" s="56"/>
      <c r="J12" s="16" t="s">
        <v>6</v>
      </c>
      <c r="K12" s="16" t="s">
        <v>6</v>
      </c>
      <c r="L12" s="15"/>
      <c r="M12" s="16" t="s">
        <v>6</v>
      </c>
      <c r="N12" s="16" t="s">
        <v>6</v>
      </c>
      <c r="O12" s="15"/>
      <c r="P12" s="16" t="s">
        <v>6</v>
      </c>
      <c r="Q12" s="16" t="s">
        <v>6</v>
      </c>
      <c r="R12" s="17" t="s">
        <v>6</v>
      </c>
      <c r="S12" s="18"/>
      <c r="T12" s="66" t="s">
        <v>33</v>
      </c>
      <c r="U12" s="64" t="s">
        <v>6</v>
      </c>
      <c r="V12" s="19"/>
      <c r="W12" s="64"/>
      <c r="X12" s="19"/>
      <c r="Y12" s="64"/>
      <c r="Z12" s="19" t="s">
        <v>6</v>
      </c>
      <c r="AA12" s="80" t="s">
        <v>6</v>
      </c>
      <c r="AB12" s="80" t="s">
        <v>6</v>
      </c>
      <c r="AC12" s="80" t="s">
        <v>6</v>
      </c>
      <c r="AD12" s="108" t="s">
        <v>6</v>
      </c>
      <c r="AE12" s="109" t="s">
        <v>6</v>
      </c>
      <c r="AF12" s="110" t="s">
        <v>6</v>
      </c>
    </row>
    <row r="13" spans="1:32" s="9" customFormat="1" ht="51.75" thickBot="1" x14ac:dyDescent="0.25">
      <c r="A13" s="80"/>
      <c r="B13" s="81" t="s">
        <v>7</v>
      </c>
      <c r="C13" s="82" t="s">
        <v>8</v>
      </c>
      <c r="D13" s="79" t="s">
        <v>9</v>
      </c>
      <c r="E13" s="22" t="s">
        <v>30</v>
      </c>
      <c r="F13" s="81" t="s">
        <v>10</v>
      </c>
      <c r="G13" s="21" t="s">
        <v>11</v>
      </c>
      <c r="H13" s="21" t="s">
        <v>12</v>
      </c>
      <c r="I13" s="83" t="s">
        <v>13</v>
      </c>
      <c r="J13" s="21" t="s">
        <v>11</v>
      </c>
      <c r="K13" s="21" t="s">
        <v>12</v>
      </c>
      <c r="L13" s="79" t="s">
        <v>14</v>
      </c>
      <c r="M13" s="21" t="s">
        <v>11</v>
      </c>
      <c r="N13" s="21" t="s">
        <v>12</v>
      </c>
      <c r="O13" s="79" t="s">
        <v>15</v>
      </c>
      <c r="P13" s="21" t="s">
        <v>16</v>
      </c>
      <c r="Q13" s="21" t="s">
        <v>12</v>
      </c>
      <c r="R13" s="21" t="s">
        <v>12</v>
      </c>
      <c r="S13" s="22" t="s">
        <v>34</v>
      </c>
      <c r="T13" s="23" t="s">
        <v>35</v>
      </c>
      <c r="U13" s="65" t="s">
        <v>12</v>
      </c>
      <c r="V13" s="23" t="s">
        <v>21</v>
      </c>
      <c r="W13" s="65" t="s">
        <v>22</v>
      </c>
      <c r="X13" s="23" t="s">
        <v>21</v>
      </c>
      <c r="Y13" s="65" t="s">
        <v>12</v>
      </c>
      <c r="Z13" s="23" t="s">
        <v>12</v>
      </c>
      <c r="AA13" s="107" t="s">
        <v>94</v>
      </c>
      <c r="AB13" s="107" t="s">
        <v>95</v>
      </c>
      <c r="AC13" s="107" t="s">
        <v>96</v>
      </c>
      <c r="AD13" s="111" t="s">
        <v>94</v>
      </c>
      <c r="AE13" s="111" t="s">
        <v>95</v>
      </c>
      <c r="AF13" s="111" t="s">
        <v>96</v>
      </c>
    </row>
    <row r="14" spans="1:32" s="29" customFormat="1" x14ac:dyDescent="0.2">
      <c r="A14" s="26"/>
      <c r="B14" s="38">
        <v>150</v>
      </c>
      <c r="C14" s="76">
        <v>0.16</v>
      </c>
      <c r="D14" s="27">
        <v>0.76</v>
      </c>
      <c r="E14" s="42">
        <v>5.0599999999999996</v>
      </c>
      <c r="F14" s="48">
        <v>3.8455999999999997</v>
      </c>
      <c r="G14" s="28">
        <v>3.14</v>
      </c>
      <c r="H14" s="49">
        <v>12.075184</v>
      </c>
      <c r="I14" s="43">
        <v>0.25832704000000001</v>
      </c>
      <c r="J14" s="28">
        <v>19.55</v>
      </c>
      <c r="K14" s="54">
        <v>5.0502936320000007</v>
      </c>
      <c r="L14" s="45">
        <v>3.5671769599999994</v>
      </c>
      <c r="M14" s="46">
        <v>2.23</v>
      </c>
      <c r="N14" s="47">
        <v>7.9548046207999983</v>
      </c>
      <c r="O14" s="43">
        <v>10.119999999999999</v>
      </c>
      <c r="P14" s="28">
        <v>5.67</v>
      </c>
      <c r="Q14" s="54">
        <v>57.380399999999995</v>
      </c>
      <c r="R14" s="59">
        <v>25.080282252799996</v>
      </c>
      <c r="S14" s="62">
        <v>0.27842304000000029</v>
      </c>
      <c r="T14" s="60">
        <v>1.4792616115200017</v>
      </c>
      <c r="U14" s="62">
        <v>83.939943864319986</v>
      </c>
      <c r="V14" s="60">
        <v>9.8699999999999992</v>
      </c>
      <c r="W14" s="67">
        <v>815</v>
      </c>
      <c r="X14" s="69">
        <v>20.375</v>
      </c>
      <c r="Y14" s="67">
        <v>114.18494386431999</v>
      </c>
      <c r="Z14" s="72">
        <v>125.60343825075201</v>
      </c>
      <c r="AA14" s="115">
        <v>73</v>
      </c>
      <c r="AB14" s="115">
        <v>72</v>
      </c>
      <c r="AC14" s="115">
        <v>15</v>
      </c>
      <c r="AD14" s="112">
        <f t="shared" ref="AD14:AD26" si="0">(Z14+AA14)*$AF$7</f>
        <v>198.60343825075199</v>
      </c>
      <c r="AE14" s="112">
        <f>(Z14+AB14)*$AF$7</f>
        <v>197.60343825075199</v>
      </c>
      <c r="AF14" s="112">
        <f>(Z14+AC14)*$AF$7</f>
        <v>140.60343825075199</v>
      </c>
    </row>
    <row r="15" spans="1:32" s="29" customFormat="1" x14ac:dyDescent="0.2">
      <c r="A15" s="26"/>
      <c r="B15" s="38">
        <v>200</v>
      </c>
      <c r="C15" s="76">
        <v>0.2</v>
      </c>
      <c r="D15" s="27">
        <v>0.8</v>
      </c>
      <c r="E15" s="42">
        <v>5.0999999999999996</v>
      </c>
      <c r="F15" s="48">
        <v>4.08</v>
      </c>
      <c r="G15" s="28">
        <v>3.14</v>
      </c>
      <c r="H15" s="49">
        <v>12.811200000000001</v>
      </c>
      <c r="I15" s="43">
        <v>0.29488000000000003</v>
      </c>
      <c r="J15" s="28">
        <v>19.55</v>
      </c>
      <c r="K15" s="54">
        <v>5.7649040000000005</v>
      </c>
      <c r="L15" s="52">
        <v>3.7537199999999999</v>
      </c>
      <c r="M15" s="28">
        <v>2.23</v>
      </c>
      <c r="N15" s="49">
        <v>8.3707955999999992</v>
      </c>
      <c r="O15" s="43">
        <v>10.199999999999999</v>
      </c>
      <c r="P15" s="28">
        <v>5.67</v>
      </c>
      <c r="Q15" s="54">
        <v>57.833999999999996</v>
      </c>
      <c r="R15" s="60">
        <v>26.946899600000002</v>
      </c>
      <c r="S15" s="62">
        <v>0.32628000000000013</v>
      </c>
      <c r="T15" s="60">
        <v>1.7335256400000005</v>
      </c>
      <c r="U15" s="62">
        <v>86.514425239999994</v>
      </c>
      <c r="V15" s="60">
        <v>11.9</v>
      </c>
      <c r="W15" s="67">
        <v>815</v>
      </c>
      <c r="X15" s="69">
        <v>20.375</v>
      </c>
      <c r="Y15" s="67">
        <v>118.78942524</v>
      </c>
      <c r="Z15" s="72">
        <v>130.66836776400001</v>
      </c>
      <c r="AA15" s="116">
        <v>82</v>
      </c>
      <c r="AB15" s="116">
        <v>81</v>
      </c>
      <c r="AC15" s="116">
        <v>17</v>
      </c>
      <c r="AD15" s="113">
        <f t="shared" si="0"/>
        <v>212.66836776400001</v>
      </c>
      <c r="AE15" s="113">
        <f t="shared" ref="AE15:AE26" si="1">(Z15+AB15)*$AF$7</f>
        <v>211.66836776400001</v>
      </c>
      <c r="AF15" s="113">
        <f t="shared" ref="AF15:AF26" si="2">(Z15+AC15)*$AF$7</f>
        <v>147.66836776400001</v>
      </c>
    </row>
    <row r="16" spans="1:32" s="29" customFormat="1" x14ac:dyDescent="0.2">
      <c r="A16" s="26"/>
      <c r="B16" s="38">
        <v>250</v>
      </c>
      <c r="C16" s="76">
        <v>0.25</v>
      </c>
      <c r="D16" s="27">
        <v>0.85</v>
      </c>
      <c r="E16" s="42">
        <v>5.1499999999999995</v>
      </c>
      <c r="F16" s="48">
        <v>4.3774999999999995</v>
      </c>
      <c r="G16" s="28">
        <v>3.14</v>
      </c>
      <c r="H16" s="49">
        <v>13.745349999999998</v>
      </c>
      <c r="I16" s="43">
        <v>0.340796875</v>
      </c>
      <c r="J16" s="28">
        <v>19.55</v>
      </c>
      <c r="K16" s="54">
        <v>6.6625789062500003</v>
      </c>
      <c r="L16" s="52">
        <v>3.987640625</v>
      </c>
      <c r="M16" s="28">
        <v>2.23</v>
      </c>
      <c r="N16" s="49">
        <v>8.8924385937500006</v>
      </c>
      <c r="O16" s="43">
        <v>10.299999999999999</v>
      </c>
      <c r="P16" s="28">
        <v>5.67</v>
      </c>
      <c r="Q16" s="54">
        <v>58.400999999999996</v>
      </c>
      <c r="R16" s="60">
        <v>29.3003675</v>
      </c>
      <c r="S16" s="62">
        <v>0.38985937499999945</v>
      </c>
      <c r="T16" s="60">
        <v>2.0713228593749973</v>
      </c>
      <c r="U16" s="62">
        <v>89.772690359375005</v>
      </c>
      <c r="V16" s="60">
        <v>17</v>
      </c>
      <c r="W16" s="67">
        <v>815</v>
      </c>
      <c r="X16" s="69">
        <v>20.375</v>
      </c>
      <c r="Y16" s="67">
        <v>127.14769035937501</v>
      </c>
      <c r="Z16" s="72">
        <v>139.9</v>
      </c>
      <c r="AA16" s="116">
        <v>82</v>
      </c>
      <c r="AB16" s="116">
        <v>81</v>
      </c>
      <c r="AC16" s="116">
        <v>17</v>
      </c>
      <c r="AD16" s="113">
        <f t="shared" si="0"/>
        <v>221.9</v>
      </c>
      <c r="AE16" s="113">
        <f t="shared" si="1"/>
        <v>220.9</v>
      </c>
      <c r="AF16" s="113">
        <f t="shared" si="2"/>
        <v>156.9</v>
      </c>
    </row>
    <row r="17" spans="1:32" s="29" customFormat="1" x14ac:dyDescent="0.2">
      <c r="A17" s="26"/>
      <c r="B17" s="38">
        <v>300</v>
      </c>
      <c r="C17" s="76">
        <v>0.315</v>
      </c>
      <c r="D17" s="27">
        <v>0.91500000000000004</v>
      </c>
      <c r="E17" s="42">
        <v>5.2149999999999999</v>
      </c>
      <c r="F17" s="48">
        <v>4.771725</v>
      </c>
      <c r="G17" s="28">
        <v>3.14</v>
      </c>
      <c r="H17" s="49">
        <v>14.983216500000001</v>
      </c>
      <c r="I17" s="43">
        <v>0.39995416312499998</v>
      </c>
      <c r="J17" s="28">
        <v>19.55</v>
      </c>
      <c r="K17" s="54">
        <v>7.8191038890937499</v>
      </c>
      <c r="L17" s="52">
        <v>4.2938792118749998</v>
      </c>
      <c r="M17" s="28">
        <v>2.23</v>
      </c>
      <c r="N17" s="49">
        <v>9.5753506424812489</v>
      </c>
      <c r="O17" s="43">
        <v>10.43</v>
      </c>
      <c r="P17" s="28">
        <v>5.67</v>
      </c>
      <c r="Q17" s="54">
        <v>59.138099999999994</v>
      </c>
      <c r="R17" s="60">
        <v>32.377671031574998</v>
      </c>
      <c r="S17" s="62">
        <v>0.47784578812500023</v>
      </c>
      <c r="T17" s="60">
        <v>2.5387946723081258</v>
      </c>
      <c r="U17" s="62">
        <v>94.054565703883114</v>
      </c>
      <c r="V17" s="60">
        <v>24.68</v>
      </c>
      <c r="W17" s="67">
        <v>815</v>
      </c>
      <c r="X17" s="69">
        <v>20.375</v>
      </c>
      <c r="Y17" s="67">
        <v>139.10956570388311</v>
      </c>
      <c r="Z17" s="72">
        <v>153</v>
      </c>
      <c r="AA17" s="116">
        <v>91</v>
      </c>
      <c r="AB17" s="116">
        <v>90</v>
      </c>
      <c r="AC17" s="116">
        <v>19</v>
      </c>
      <c r="AD17" s="113">
        <f t="shared" si="0"/>
        <v>244</v>
      </c>
      <c r="AE17" s="113">
        <f t="shared" si="1"/>
        <v>243</v>
      </c>
      <c r="AF17" s="113">
        <f t="shared" si="2"/>
        <v>172</v>
      </c>
    </row>
    <row r="18" spans="1:32" s="29" customFormat="1" x14ac:dyDescent="0.2">
      <c r="A18" s="26"/>
      <c r="B18" s="38">
        <v>355</v>
      </c>
      <c r="C18" s="76">
        <v>0.35499999999999998</v>
      </c>
      <c r="D18" s="27">
        <v>0.95499999999999996</v>
      </c>
      <c r="E18" s="42">
        <v>5.2549999999999999</v>
      </c>
      <c r="F18" s="48">
        <v>5.0185249999999995</v>
      </c>
      <c r="G18" s="28">
        <v>3.14</v>
      </c>
      <c r="H18" s="49">
        <v>15.758168499999998</v>
      </c>
      <c r="I18" s="43">
        <v>0.43554720812499992</v>
      </c>
      <c r="J18" s="28">
        <v>19.55</v>
      </c>
      <c r="K18" s="54">
        <v>8.5149479188437489</v>
      </c>
      <c r="L18" s="52">
        <v>4.4840481668749996</v>
      </c>
      <c r="M18" s="28">
        <v>2.23</v>
      </c>
      <c r="N18" s="49">
        <v>9.999427412131249</v>
      </c>
      <c r="O18" s="43">
        <v>10.51</v>
      </c>
      <c r="P18" s="28">
        <v>5.67</v>
      </c>
      <c r="Q18" s="54">
        <v>59.591699999999996</v>
      </c>
      <c r="R18" s="60">
        <v>34.272543830974996</v>
      </c>
      <c r="S18" s="62">
        <v>0.53447683312499983</v>
      </c>
      <c r="T18" s="60">
        <v>2.8396754143931235</v>
      </c>
      <c r="U18" s="62">
        <v>96.703919245368127</v>
      </c>
      <c r="V18" s="60">
        <v>31.35</v>
      </c>
      <c r="W18" s="67">
        <v>815</v>
      </c>
      <c r="X18" s="69">
        <v>20.375</v>
      </c>
      <c r="Y18" s="67">
        <v>148.42891924536812</v>
      </c>
      <c r="Z18" s="72">
        <v>163.30000000000001</v>
      </c>
      <c r="AA18" s="116">
        <v>91</v>
      </c>
      <c r="AB18" s="116">
        <v>90</v>
      </c>
      <c r="AC18" s="116">
        <v>19</v>
      </c>
      <c r="AD18" s="113">
        <f t="shared" si="0"/>
        <v>254.3</v>
      </c>
      <c r="AE18" s="113">
        <f t="shared" si="1"/>
        <v>253.3</v>
      </c>
      <c r="AF18" s="113">
        <f t="shared" si="2"/>
        <v>182.3</v>
      </c>
    </row>
    <row r="19" spans="1:32" s="29" customFormat="1" x14ac:dyDescent="0.2">
      <c r="A19" s="26"/>
      <c r="B19" s="38">
        <v>400</v>
      </c>
      <c r="C19" s="76">
        <v>0.4</v>
      </c>
      <c r="D19" s="27">
        <v>1</v>
      </c>
      <c r="E19" s="42">
        <v>5.3</v>
      </c>
      <c r="F19" s="48">
        <v>5.3</v>
      </c>
      <c r="G19" s="28">
        <v>3.14</v>
      </c>
      <c r="H19" s="49">
        <v>16.641999999999999</v>
      </c>
      <c r="I19" s="43">
        <v>0.47440000000000004</v>
      </c>
      <c r="J19" s="28">
        <v>19.55</v>
      </c>
      <c r="K19" s="54">
        <v>9.2745200000000008</v>
      </c>
      <c r="L19" s="52">
        <v>4.6999999999999993</v>
      </c>
      <c r="M19" s="28">
        <v>2.23</v>
      </c>
      <c r="N19" s="49">
        <v>10.480999999999998</v>
      </c>
      <c r="O19" s="43">
        <v>10.6</v>
      </c>
      <c r="P19" s="28">
        <v>5.67</v>
      </c>
      <c r="Q19" s="54">
        <v>60.101999999999997</v>
      </c>
      <c r="R19" s="60">
        <v>36.39752</v>
      </c>
      <c r="S19" s="62">
        <v>0.60000000000000053</v>
      </c>
      <c r="T19" s="60">
        <v>3.1878000000000024</v>
      </c>
      <c r="U19" s="62">
        <v>99.687319999999985</v>
      </c>
      <c r="V19" s="60">
        <v>38.44</v>
      </c>
      <c r="W19" s="67">
        <v>815</v>
      </c>
      <c r="X19" s="69">
        <v>20.375</v>
      </c>
      <c r="Y19" s="67">
        <v>158.50232</v>
      </c>
      <c r="Z19" s="72">
        <v>174.4</v>
      </c>
      <c r="AA19" s="116">
        <v>105</v>
      </c>
      <c r="AB19" s="116">
        <v>103</v>
      </c>
      <c r="AC19" s="116">
        <v>22</v>
      </c>
      <c r="AD19" s="113">
        <f t="shared" si="0"/>
        <v>279.39999999999998</v>
      </c>
      <c r="AE19" s="113">
        <f t="shared" si="1"/>
        <v>277.39999999999998</v>
      </c>
      <c r="AF19" s="113">
        <f t="shared" si="2"/>
        <v>196.4</v>
      </c>
    </row>
    <row r="20" spans="1:32" s="29" customFormat="1" x14ac:dyDescent="0.2">
      <c r="A20" s="26"/>
      <c r="B20" s="38">
        <v>500</v>
      </c>
      <c r="C20" s="76">
        <v>0.5</v>
      </c>
      <c r="D20" s="27">
        <v>1.1000000000000001</v>
      </c>
      <c r="E20" s="42">
        <v>5.3999999999999995</v>
      </c>
      <c r="F20" s="48">
        <v>5.9399999999999995</v>
      </c>
      <c r="G20" s="28">
        <v>3.14</v>
      </c>
      <c r="H20" s="49">
        <v>18.651599999999998</v>
      </c>
      <c r="I20" s="43">
        <v>0.55412499999999998</v>
      </c>
      <c r="J20" s="28">
        <v>19.55</v>
      </c>
      <c r="K20" s="54">
        <v>10.83314375</v>
      </c>
      <c r="L20" s="52">
        <v>5.1896249999999995</v>
      </c>
      <c r="M20" s="28">
        <v>2.23</v>
      </c>
      <c r="N20" s="49">
        <v>11.572863749999998</v>
      </c>
      <c r="O20" s="43">
        <v>10.799999999999999</v>
      </c>
      <c r="P20" s="28">
        <v>5.67</v>
      </c>
      <c r="Q20" s="54">
        <v>61.23599999999999</v>
      </c>
      <c r="R20" s="60">
        <v>41.057607499999996</v>
      </c>
      <c r="S20" s="62">
        <v>0.75037500000000001</v>
      </c>
      <c r="T20" s="60">
        <v>3.9867423749999999</v>
      </c>
      <c r="U20" s="62">
        <v>106.28034987499998</v>
      </c>
      <c r="V20" s="60">
        <v>70.239999999999995</v>
      </c>
      <c r="W20" s="67">
        <v>815</v>
      </c>
      <c r="X20" s="69">
        <v>20.375</v>
      </c>
      <c r="Y20" s="67">
        <v>196.89534987499997</v>
      </c>
      <c r="Z20" s="72">
        <v>216.6</v>
      </c>
      <c r="AA20" s="116">
        <v>105</v>
      </c>
      <c r="AB20" s="116">
        <v>103</v>
      </c>
      <c r="AC20" s="116">
        <v>22</v>
      </c>
      <c r="AD20" s="113">
        <f t="shared" si="0"/>
        <v>321.60000000000002</v>
      </c>
      <c r="AE20" s="113">
        <f t="shared" si="1"/>
        <v>319.60000000000002</v>
      </c>
      <c r="AF20" s="113">
        <f t="shared" si="2"/>
        <v>238.6</v>
      </c>
    </row>
    <row r="21" spans="1:32" s="33" customFormat="1" ht="13.5" thickBot="1" x14ac:dyDescent="0.25">
      <c r="A21" s="30"/>
      <c r="B21" s="39">
        <v>600</v>
      </c>
      <c r="C21" s="77">
        <v>0.6</v>
      </c>
      <c r="D21" s="31">
        <v>1.2</v>
      </c>
      <c r="E21" s="42">
        <v>5.4999999999999991</v>
      </c>
      <c r="F21" s="50">
        <v>6.5999999999999988</v>
      </c>
      <c r="G21" s="32">
        <v>3.14</v>
      </c>
      <c r="H21" s="51">
        <v>20.723999999999997</v>
      </c>
      <c r="I21" s="44">
        <v>0.6208800000000001</v>
      </c>
      <c r="J21" s="32">
        <v>19.55</v>
      </c>
      <c r="K21" s="55">
        <v>12.138204000000002</v>
      </c>
      <c r="L21" s="58">
        <v>5.6965199999999978</v>
      </c>
      <c r="M21" s="32">
        <v>2.23</v>
      </c>
      <c r="N21" s="51">
        <v>12.703239599999995</v>
      </c>
      <c r="O21" s="44">
        <v>10.999999999999998</v>
      </c>
      <c r="P21" s="32">
        <v>5.67</v>
      </c>
      <c r="Q21" s="55">
        <v>62.36999999999999</v>
      </c>
      <c r="R21" s="61">
        <v>45.565443599999995</v>
      </c>
      <c r="S21" s="63">
        <v>0.90348000000000095</v>
      </c>
      <c r="T21" s="61">
        <v>4.8001892400000044</v>
      </c>
      <c r="U21" s="63">
        <v>112.73563283999999</v>
      </c>
      <c r="V21" s="61">
        <v>87.89</v>
      </c>
      <c r="W21" s="68">
        <v>815</v>
      </c>
      <c r="X21" s="70">
        <v>20.375</v>
      </c>
      <c r="Y21" s="68">
        <v>221.00063283999998</v>
      </c>
      <c r="Z21" s="73">
        <v>243.1</v>
      </c>
      <c r="AA21" s="116">
        <v>123</v>
      </c>
      <c r="AB21" s="116">
        <v>121</v>
      </c>
      <c r="AC21" s="116">
        <v>26</v>
      </c>
      <c r="AD21" s="113">
        <f t="shared" si="0"/>
        <v>366.1</v>
      </c>
      <c r="AE21" s="113">
        <f t="shared" si="1"/>
        <v>364.1</v>
      </c>
      <c r="AF21" s="113">
        <f t="shared" si="2"/>
        <v>269.10000000000002</v>
      </c>
    </row>
    <row r="22" spans="1:32" s="29" customFormat="1" x14ac:dyDescent="0.2">
      <c r="A22" s="26"/>
      <c r="B22" s="40">
        <v>700</v>
      </c>
      <c r="C22" s="78">
        <v>0.7</v>
      </c>
      <c r="D22" s="34">
        <v>1.2999999999999998</v>
      </c>
      <c r="E22" s="42">
        <v>5.6</v>
      </c>
      <c r="F22" s="52">
        <v>7.2799999999999985</v>
      </c>
      <c r="G22" s="28">
        <v>3.14</v>
      </c>
      <c r="H22" s="49">
        <v>22.859199999999998</v>
      </c>
      <c r="I22" s="43">
        <v>0.66995499999999986</v>
      </c>
      <c r="J22" s="28">
        <v>19.55</v>
      </c>
      <c r="K22" s="54">
        <v>13.097620249999999</v>
      </c>
      <c r="L22" s="52">
        <v>6.2253949999999989</v>
      </c>
      <c r="M22" s="28">
        <v>2.23</v>
      </c>
      <c r="N22" s="49">
        <v>13.882630849999998</v>
      </c>
      <c r="O22" s="43">
        <v>11.2</v>
      </c>
      <c r="P22" s="28">
        <v>5.67</v>
      </c>
      <c r="Q22" s="54">
        <v>63.503999999999998</v>
      </c>
      <c r="R22" s="60">
        <v>49.839451099999991</v>
      </c>
      <c r="S22" s="62">
        <v>1.0546049999999996</v>
      </c>
      <c r="T22" s="60">
        <v>5.6031163649999973</v>
      </c>
      <c r="U22" s="62">
        <v>118.94656746499997</v>
      </c>
      <c r="V22" s="60">
        <v>114.2</v>
      </c>
      <c r="W22" s="67">
        <v>1047</v>
      </c>
      <c r="X22" s="69">
        <v>26.175000000000001</v>
      </c>
      <c r="Y22" s="67">
        <v>259.32156746499999</v>
      </c>
      <c r="Z22" s="72">
        <v>285.3</v>
      </c>
      <c r="AA22" s="116">
        <v>123</v>
      </c>
      <c r="AB22" s="116">
        <v>121</v>
      </c>
      <c r="AC22" s="116">
        <v>26</v>
      </c>
      <c r="AD22" s="113">
        <f t="shared" si="0"/>
        <v>408.3</v>
      </c>
      <c r="AE22" s="113">
        <f t="shared" si="1"/>
        <v>406.3</v>
      </c>
      <c r="AF22" s="113">
        <f t="shared" si="2"/>
        <v>311.3</v>
      </c>
    </row>
    <row r="23" spans="1:32" s="29" customFormat="1" x14ac:dyDescent="0.2">
      <c r="A23" s="26"/>
      <c r="B23" s="38">
        <v>800</v>
      </c>
      <c r="C23" s="76">
        <v>0.8</v>
      </c>
      <c r="D23" s="27">
        <v>1.4</v>
      </c>
      <c r="E23" s="42">
        <v>5.6999999999999993</v>
      </c>
      <c r="F23" s="48">
        <v>7.9799999999999986</v>
      </c>
      <c r="G23" s="28">
        <v>3.14</v>
      </c>
      <c r="H23" s="49">
        <v>25.057199999999998</v>
      </c>
      <c r="I23" s="43">
        <v>0.69663999999999981</v>
      </c>
      <c r="J23" s="28">
        <v>19.55</v>
      </c>
      <c r="K23" s="54">
        <v>13.619311999999997</v>
      </c>
      <c r="L23" s="52">
        <v>6.7809599999999994</v>
      </c>
      <c r="M23" s="28">
        <v>2.23</v>
      </c>
      <c r="N23" s="49">
        <v>15.121540799999998</v>
      </c>
      <c r="O23" s="43">
        <v>11.399999999999999</v>
      </c>
      <c r="P23" s="28">
        <v>5.67</v>
      </c>
      <c r="Q23" s="54">
        <v>64.637999999999991</v>
      </c>
      <c r="R23" s="60">
        <v>53.798052799999994</v>
      </c>
      <c r="S23" s="62">
        <v>1.1990399999999992</v>
      </c>
      <c r="T23" s="60">
        <v>6.3704995199999956</v>
      </c>
      <c r="U23" s="62">
        <v>124.80655231999998</v>
      </c>
      <c r="V23" s="60">
        <v>140.9</v>
      </c>
      <c r="W23" s="67">
        <v>1047</v>
      </c>
      <c r="X23" s="69">
        <v>26.175000000000001</v>
      </c>
      <c r="Y23" s="67">
        <v>291.88155232000003</v>
      </c>
      <c r="Z23" s="72">
        <v>321.10000000000002</v>
      </c>
      <c r="AA23" s="116">
        <v>145</v>
      </c>
      <c r="AB23" s="116">
        <v>143</v>
      </c>
      <c r="AC23" s="116">
        <v>30</v>
      </c>
      <c r="AD23" s="113">
        <f t="shared" si="0"/>
        <v>466.1</v>
      </c>
      <c r="AE23" s="113">
        <f t="shared" si="1"/>
        <v>464.1</v>
      </c>
      <c r="AF23" s="113">
        <f t="shared" si="2"/>
        <v>351.1</v>
      </c>
    </row>
    <row r="24" spans="1:32" s="29" customFormat="1" x14ac:dyDescent="0.2">
      <c r="A24" s="26"/>
      <c r="B24" s="38">
        <v>900</v>
      </c>
      <c r="C24" s="76">
        <v>0.9</v>
      </c>
      <c r="D24" s="27">
        <v>1.5</v>
      </c>
      <c r="E24" s="42">
        <v>5.8</v>
      </c>
      <c r="F24" s="48">
        <v>8.6999999999999993</v>
      </c>
      <c r="G24" s="28">
        <v>3.14</v>
      </c>
      <c r="H24" s="49">
        <v>27.317999999999998</v>
      </c>
      <c r="I24" s="43">
        <v>0.69622500000000009</v>
      </c>
      <c r="J24" s="28">
        <v>19.55</v>
      </c>
      <c r="K24" s="54">
        <v>13.611198750000002</v>
      </c>
      <c r="L24" s="52">
        <v>7.3679249999999996</v>
      </c>
      <c r="M24" s="28">
        <v>2.23</v>
      </c>
      <c r="N24" s="49">
        <v>16.43047275</v>
      </c>
      <c r="O24" s="43">
        <v>11.6</v>
      </c>
      <c r="P24" s="28">
        <v>5.67</v>
      </c>
      <c r="Q24" s="54">
        <v>65.771999999999991</v>
      </c>
      <c r="R24" s="60">
        <v>57.359671499999997</v>
      </c>
      <c r="S24" s="62">
        <v>1.3320749999999997</v>
      </c>
      <c r="T24" s="60">
        <v>7.0773144749999979</v>
      </c>
      <c r="U24" s="62">
        <v>130.20898597499999</v>
      </c>
      <c r="V24" s="60">
        <v>149</v>
      </c>
      <c r="W24" s="67">
        <v>1047</v>
      </c>
      <c r="X24" s="69">
        <v>26.175000000000001</v>
      </c>
      <c r="Y24" s="67">
        <v>305.38398597500003</v>
      </c>
      <c r="Z24" s="72">
        <v>335.9</v>
      </c>
      <c r="AA24" s="116">
        <v>145</v>
      </c>
      <c r="AB24" s="116">
        <v>143</v>
      </c>
      <c r="AC24" s="116">
        <v>30</v>
      </c>
      <c r="AD24" s="113">
        <f t="shared" si="0"/>
        <v>480.9</v>
      </c>
      <c r="AE24" s="113">
        <f t="shared" si="1"/>
        <v>478.9</v>
      </c>
      <c r="AF24" s="113">
        <f t="shared" si="2"/>
        <v>365.9</v>
      </c>
    </row>
    <row r="25" spans="1:32" s="29" customFormat="1" x14ac:dyDescent="0.2">
      <c r="A25" s="26"/>
      <c r="B25" s="38">
        <v>1000</v>
      </c>
      <c r="C25" s="76">
        <v>1</v>
      </c>
      <c r="D25" s="27">
        <v>1.6</v>
      </c>
      <c r="E25" s="42">
        <v>5.8999999999999995</v>
      </c>
      <c r="F25" s="48">
        <v>9.44</v>
      </c>
      <c r="G25" s="28">
        <v>3.14</v>
      </c>
      <c r="H25" s="49">
        <v>29.6416</v>
      </c>
      <c r="I25" s="43">
        <v>0.66399999999999992</v>
      </c>
      <c r="J25" s="28">
        <v>19.55</v>
      </c>
      <c r="K25" s="54">
        <v>12.981199999999999</v>
      </c>
      <c r="L25" s="52">
        <v>7.9909999999999997</v>
      </c>
      <c r="M25" s="28">
        <v>2.23</v>
      </c>
      <c r="N25" s="49">
        <v>17.819929999999999</v>
      </c>
      <c r="O25" s="43">
        <v>11.799999999999999</v>
      </c>
      <c r="P25" s="28">
        <v>5.67</v>
      </c>
      <c r="Q25" s="54">
        <v>66.905999999999992</v>
      </c>
      <c r="R25" s="60">
        <v>60.442729999999997</v>
      </c>
      <c r="S25" s="62">
        <v>1.4489999999999998</v>
      </c>
      <c r="T25" s="60">
        <v>7.6985369999999991</v>
      </c>
      <c r="U25" s="62">
        <v>135.04726699999998</v>
      </c>
      <c r="V25" s="60">
        <v>166.5</v>
      </c>
      <c r="W25" s="67">
        <v>1047</v>
      </c>
      <c r="X25" s="69">
        <v>26.175000000000001</v>
      </c>
      <c r="Y25" s="67">
        <v>327.72226699999999</v>
      </c>
      <c r="Z25" s="72">
        <v>360.5</v>
      </c>
      <c r="AA25" s="116">
        <v>171</v>
      </c>
      <c r="AB25" s="116">
        <v>169</v>
      </c>
      <c r="AC25" s="116">
        <v>34</v>
      </c>
      <c r="AD25" s="113">
        <f t="shared" si="0"/>
        <v>531.5</v>
      </c>
      <c r="AE25" s="113">
        <f t="shared" si="1"/>
        <v>529.5</v>
      </c>
      <c r="AF25" s="113">
        <f t="shared" si="2"/>
        <v>394.5</v>
      </c>
    </row>
    <row r="26" spans="1:32" s="29" customFormat="1" ht="13.5" thickBot="1" x14ac:dyDescent="0.25">
      <c r="A26" s="26"/>
      <c r="B26" s="39">
        <v>1250</v>
      </c>
      <c r="C26" s="77">
        <v>1.25</v>
      </c>
      <c r="D26" s="31">
        <v>1.85</v>
      </c>
      <c r="E26" s="75">
        <v>6.1499999999999995</v>
      </c>
      <c r="F26" s="50">
        <v>11.3775</v>
      </c>
      <c r="G26" s="32">
        <v>3.14</v>
      </c>
      <c r="H26" s="51">
        <v>35.725349999999999</v>
      </c>
      <c r="I26" s="44">
        <v>0.41335937499999992</v>
      </c>
      <c r="J26" s="32">
        <v>19.55</v>
      </c>
      <c r="K26" s="55">
        <v>8.081175781249998</v>
      </c>
      <c r="L26" s="58">
        <v>9.7375781249999989</v>
      </c>
      <c r="M26" s="32">
        <v>2.23</v>
      </c>
      <c r="N26" s="51">
        <v>21.714799218749999</v>
      </c>
      <c r="O26" s="44">
        <v>12.299999999999999</v>
      </c>
      <c r="P26" s="32">
        <v>5.67</v>
      </c>
      <c r="Q26" s="55">
        <v>69.741</v>
      </c>
      <c r="R26" s="61">
        <v>65.52132499999999</v>
      </c>
      <c r="S26" s="63">
        <v>1.6399218750000006</v>
      </c>
      <c r="T26" s="61">
        <v>8.712904921875003</v>
      </c>
      <c r="U26" s="63">
        <v>143.97522992187498</v>
      </c>
      <c r="V26" s="61">
        <v>203.43</v>
      </c>
      <c r="W26" s="68">
        <v>1047</v>
      </c>
      <c r="X26" s="71">
        <v>26.175000000000001</v>
      </c>
      <c r="Y26" s="68">
        <v>373.580229921875</v>
      </c>
      <c r="Z26" s="74">
        <v>410.9</v>
      </c>
      <c r="AA26" s="117">
        <v>171</v>
      </c>
      <c r="AB26" s="117">
        <v>169</v>
      </c>
      <c r="AC26" s="117">
        <v>34</v>
      </c>
      <c r="AD26" s="114">
        <f t="shared" si="0"/>
        <v>581.9</v>
      </c>
      <c r="AE26" s="114">
        <f t="shared" si="1"/>
        <v>579.9</v>
      </c>
      <c r="AF26" s="114">
        <f t="shared" si="2"/>
        <v>444.9</v>
      </c>
    </row>
    <row r="27" spans="1:32" x14ac:dyDescent="0.2">
      <c r="O27" s="1">
        <v>0</v>
      </c>
    </row>
  </sheetData>
  <mergeCells count="9">
    <mergeCell ref="AA11:AC11"/>
    <mergeCell ref="AD11:AF11"/>
    <mergeCell ref="A1:E1"/>
    <mergeCell ref="F11:H11"/>
    <mergeCell ref="A4:H4"/>
    <mergeCell ref="O11:Q11"/>
    <mergeCell ref="I11:K11"/>
    <mergeCell ref="L11:N11"/>
    <mergeCell ref="B11:E11"/>
  </mergeCells>
  <phoneticPr fontId="0" type="noConversion"/>
  <pageMargins left="0.19" right="0.17" top="1" bottom="1" header="0.5" footer="0.5"/>
  <pageSetup paperSize="9" scale="66" orientation="landscape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2703EF26E6D4E977A1588C092D7CF" ma:contentTypeVersion="8" ma:contentTypeDescription="Create a new document." ma:contentTypeScope="" ma:versionID="5c3bf62fb088b932dfe711672233914c">
  <xsd:schema xmlns:xsd="http://www.w3.org/2001/XMLSchema" xmlns:xs="http://www.w3.org/2001/XMLSchema" xmlns:p="http://schemas.microsoft.com/office/2006/metadata/properties" xmlns:ns2="65f635d2-82ea-4d78-897f-ada8f4f641e5" targetNamespace="http://schemas.microsoft.com/office/2006/metadata/properties" ma:root="true" ma:fieldsID="6f3f24496ff13eaba71698c08ebaad7c" ns2:_="">
    <xsd:import namespace="65f635d2-82ea-4d78-897f-ada8f4f641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635d2-82ea-4d78-897f-ada8f4f64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1EB21A-A8BB-4285-8D5C-C4B5A3C3F813}"/>
</file>

<file path=customXml/itemProps2.xml><?xml version="1.0" encoding="utf-8"?>
<ds:datastoreItem xmlns:ds="http://schemas.openxmlformats.org/officeDocument/2006/customXml" ds:itemID="{0D3B55EB-E5E3-4C4E-B6FD-70C1F04B95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D6F11F-DAC3-4F0B-90D1-CE2C6D73719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65f635d2-82ea-4d78-897f-ada8f4f641e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16</vt:i4>
      </vt:variant>
    </vt:vector>
  </HeadingPairs>
  <TitlesOfParts>
    <vt:vector size="42" baseType="lpstr">
      <vt:lpstr>ANALIZA OPTIUNI</vt:lpstr>
      <vt:lpstr>INVESTITII CANAL</vt:lpstr>
      <vt:lpstr>COND CANAL H=1-6 m</vt:lpstr>
      <vt:lpstr>COND CANAL H=1.5M</vt:lpstr>
      <vt:lpstr>COND CANAL H=2</vt:lpstr>
      <vt:lpstr>COND CANAL H=2.5</vt:lpstr>
      <vt:lpstr>COND CANAL H=3</vt:lpstr>
      <vt:lpstr>COND CANAL H=4</vt:lpstr>
      <vt:lpstr>COND CANAL H=5</vt:lpstr>
      <vt:lpstr>COND CANAL H=6</vt:lpstr>
      <vt:lpstr>COND REF</vt:lpstr>
      <vt:lpstr>Reab CIPP lining</vt:lpstr>
      <vt:lpstr>SPAU</vt:lpstr>
      <vt:lpstr>SPAU_DB</vt:lpstr>
      <vt:lpstr>Racord</vt:lpstr>
      <vt:lpstr>Subtraversari</vt:lpstr>
      <vt:lpstr>Generator</vt:lpstr>
      <vt:lpstr>Volume de apa</vt:lpstr>
      <vt:lpstr>Personal exploatare</vt:lpstr>
      <vt:lpstr>Cheltuieli energie</vt:lpstr>
      <vt:lpstr>Cheltuieli materiale</vt:lpstr>
      <vt:lpstr>Desfacere-refacere</vt:lpstr>
      <vt:lpstr>SEAU_Belin</vt:lpstr>
      <vt:lpstr>EE_Belin</vt:lpstr>
      <vt:lpstr>Echip.tehn_Belin</vt:lpstr>
      <vt:lpstr>Reactivi_Belin</vt:lpstr>
      <vt:lpstr>'COND CANAL H=1-6 m'!Print_Area</vt:lpstr>
      <vt:lpstr>'Desfacere-refacere'!Print_Area</vt:lpstr>
      <vt:lpstr>Echip.tehn_Belin!Print_Area</vt:lpstr>
      <vt:lpstr>EE_Belin!Print_Area</vt:lpstr>
      <vt:lpstr>'INVESTITII CANAL'!Print_Area</vt:lpstr>
      <vt:lpstr>Racord!Print_Area</vt:lpstr>
      <vt:lpstr>Reactivi_Belin!Print_Area</vt:lpstr>
      <vt:lpstr>SEAU_Belin!Print_Area</vt:lpstr>
      <vt:lpstr>'COND CANAL H=1.5M'!Print_Titles</vt:lpstr>
      <vt:lpstr>'COND CANAL H=1-6 m'!Print_Titles</vt:lpstr>
      <vt:lpstr>'COND CANAL H=2'!Print_Titles</vt:lpstr>
      <vt:lpstr>'COND CANAL H=2.5'!Print_Titles</vt:lpstr>
      <vt:lpstr>'COND CANAL H=3'!Print_Titles</vt:lpstr>
      <vt:lpstr>'COND CANAL H=4'!Print_Titles</vt:lpstr>
      <vt:lpstr>'COND CANAL H=5'!Print_Titles</vt:lpstr>
      <vt:lpstr>'COND CANAL H=6'!Print_Titles</vt:lpstr>
    </vt:vector>
  </TitlesOfParts>
  <Company>Fichtner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Fichtner</dc:creator>
  <cp:lastModifiedBy>Ruxandra Savin</cp:lastModifiedBy>
  <cp:lastPrinted>2019-08-13T15:20:30Z</cp:lastPrinted>
  <dcterms:created xsi:type="dcterms:W3CDTF">2008-08-29T12:22:48Z</dcterms:created>
  <dcterms:modified xsi:type="dcterms:W3CDTF">2020-03-16T13:58:13Z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0x010100C202703EF26E6D4E977A1588C092D7CF</vt:lpwstr>
  </property>
  <property fmtid="{D5CDD505-2E9C-101B-9397-08002B2CF9AE}" pid="3" name="Order">
    <vt:r8>446600</vt:r8>
  </property>
</Properties>
</file>